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9040" windowHeight="15840" activeTab="5"/>
  </bookViews>
  <sheets>
    <sheet name="ASG" sheetId="20" r:id="rId1"/>
    <sheet name="ASG Insal 40%" sheetId="21" r:id="rId2"/>
    <sheet name="Encarregado" sheetId="22" r:id="rId3"/>
    <sheet name="Materiais" sheetId="23" r:id="rId4"/>
    <sheet name="Área Dispersas" sheetId="19" r:id="rId5"/>
    <sheet name="Equipamentos" sheetId="24" r:id="rId6"/>
  </sheets>
  <externalReferences>
    <externalReference r:id="rId7"/>
  </externalReferences>
  <definedNames>
    <definedName name="_xlnm.Print_Area" localSheetId="4">'Área Dispersas'!$I$1:$Y$133</definedName>
    <definedName name="_xlnm.Print_Area" localSheetId="0">ASG!$A$1:$I$303</definedName>
    <definedName name="_xlnm.Print_Area" localSheetId="1">'ASG Insal 40%'!$A$1:$I$302</definedName>
    <definedName name="_xlnm.Print_Area" localSheetId="2">Encarregado!$A$1:$J$299</definedName>
    <definedName name="_xlnm.Print_Area" localSheetId="5">Equipamentos!$A$1:$G$24</definedName>
    <definedName name="_xlnm.Print_Area" localSheetId="3">Materiais!$A$1:$G$92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22"/>
  <c r="D40" i="21"/>
  <c r="C5"/>
  <c r="B85" i="20"/>
  <c r="G4" i="24" l="1"/>
  <c r="G5"/>
  <c r="G6"/>
  <c r="G7"/>
  <c r="G8"/>
  <c r="G9"/>
  <c r="G10"/>
  <c r="G11"/>
  <c r="G12"/>
  <c r="G13"/>
  <c r="G14" l="1"/>
  <c r="G15" s="1"/>
  <c r="G16" s="1"/>
  <c r="A301" i="20"/>
  <c r="A300" i="21"/>
  <c r="A297" i="22"/>
  <c r="B22" i="24"/>
  <c r="D146" i="22"/>
  <c r="G150" s="1"/>
  <c r="D146" i="21"/>
  <c r="G150" s="1"/>
  <c r="D147" i="20"/>
  <c r="G151" s="1"/>
  <c r="X7" i="19"/>
  <c r="B141" i="22"/>
  <c r="D141" s="1"/>
  <c r="F150" s="1"/>
  <c r="D141" i="20"/>
  <c r="F151" s="1"/>
  <c r="D140" i="21"/>
  <c r="F150" s="1"/>
  <c r="C164" i="22" l="1"/>
  <c r="C163"/>
  <c r="B135"/>
  <c r="B129"/>
  <c r="B115"/>
  <c r="B33"/>
  <c r="C27" i="21"/>
  <c r="C27" i="22"/>
  <c r="C12"/>
  <c r="B135" i="21"/>
  <c r="B129"/>
  <c r="B115"/>
  <c r="C25"/>
  <c r="B33" s="1"/>
  <c r="C12"/>
  <c r="B164" i="20" l="1"/>
  <c r="B165"/>
  <c r="B33"/>
  <c r="B163" i="22" l="1"/>
  <c r="B163" i="21"/>
  <c r="B164"/>
  <c r="B164" i="22"/>
  <c r="C281" i="21" l="1"/>
  <c r="P106" i="19"/>
  <c r="P105"/>
  <c r="X105" s="1"/>
  <c r="G7" i="23" l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E20" i="20"/>
  <c r="E101" i="22"/>
  <c r="G81" i="23" l="1"/>
  <c r="G82" s="1"/>
  <c r="G83" s="1"/>
  <c r="P115" i="19"/>
  <c r="X115"/>
  <c r="X117"/>
  <c r="X118"/>
  <c r="P109"/>
  <c r="X109" s="1"/>
  <c r="P108"/>
  <c r="X108" s="1"/>
  <c r="P107"/>
  <c r="X106"/>
  <c r="X107" l="1"/>
  <c r="P110"/>
  <c r="X110" s="1"/>
  <c r="P111"/>
  <c r="X111" s="1"/>
  <c r="P112"/>
  <c r="X112" s="1"/>
  <c r="P114"/>
  <c r="X114" s="1"/>
  <c r="P116"/>
  <c r="X116" s="1"/>
  <c r="C282" i="20" l="1"/>
  <c r="H74" i="23" l="1"/>
  <c r="H75" s="1"/>
  <c r="H76" s="1"/>
  <c r="D256" i="20"/>
  <c r="D257"/>
  <c r="D258"/>
  <c r="D259"/>
  <c r="D255"/>
  <c r="D258" i="22" l="1"/>
  <c r="D257"/>
  <c r="D258" i="21"/>
  <c r="D257"/>
  <c r="H77" i="23" l="1"/>
  <c r="C275" i="21"/>
  <c r="C276" i="20"/>
  <c r="B272"/>
  <c r="B271" i="21"/>
  <c r="C271"/>
  <c r="C272" i="20"/>
  <c r="B267" i="21"/>
  <c r="B268" i="20"/>
  <c r="N98" i="19"/>
  <c r="N80"/>
  <c r="N99"/>
  <c r="P119" s="1"/>
  <c r="N81"/>
  <c r="P121" s="1"/>
  <c r="X121" s="1"/>
  <c r="N93"/>
  <c r="P123" s="1"/>
  <c r="X123" s="1"/>
  <c r="N92"/>
  <c r="N87"/>
  <c r="P122" s="1"/>
  <c r="X122" s="1"/>
  <c r="N86"/>
  <c r="P124" l="1"/>
  <c r="X119"/>
  <c r="X124" s="1"/>
  <c r="D271" i="21"/>
  <c r="D275" s="1"/>
  <c r="D272" i="20"/>
  <c r="D276" s="1"/>
  <c r="C268"/>
  <c r="C267" i="21"/>
  <c r="C278" i="22"/>
  <c r="D256"/>
  <c r="D255"/>
  <c r="D254"/>
  <c r="E230"/>
  <c r="D229"/>
  <c r="E229" s="1"/>
  <c r="D228"/>
  <c r="E228" s="1"/>
  <c r="E227"/>
  <c r="E226"/>
  <c r="E225"/>
  <c r="D224"/>
  <c r="E224" s="1"/>
  <c r="E223"/>
  <c r="D222"/>
  <c r="E222" s="1"/>
  <c r="D221"/>
  <c r="E221" s="1"/>
  <c r="E220"/>
  <c r="D219"/>
  <c r="E219" s="1"/>
  <c r="C205"/>
  <c r="C195"/>
  <c r="C181"/>
  <c r="B167"/>
  <c r="D135"/>
  <c r="E150" s="1"/>
  <c r="D129"/>
  <c r="D150" s="1"/>
  <c r="D115"/>
  <c r="B123" s="1"/>
  <c r="B105"/>
  <c r="E105" s="1"/>
  <c r="C109" s="1"/>
  <c r="B109"/>
  <c r="C89"/>
  <c r="C85"/>
  <c r="B47"/>
  <c r="B40"/>
  <c r="D40" s="1"/>
  <c r="C47" s="1"/>
  <c r="E20"/>
  <c r="D256" i="21"/>
  <c r="D255"/>
  <c r="D254"/>
  <c r="E230"/>
  <c r="D229"/>
  <c r="E229" s="1"/>
  <c r="D228"/>
  <c r="E228" s="1"/>
  <c r="E227"/>
  <c r="E226"/>
  <c r="E225"/>
  <c r="D224"/>
  <c r="E224" s="1"/>
  <c r="E223"/>
  <c r="D222"/>
  <c r="E222" s="1"/>
  <c r="D221"/>
  <c r="E221" s="1"/>
  <c r="E220"/>
  <c r="D219"/>
  <c r="E219" s="1"/>
  <c r="C205"/>
  <c r="C195"/>
  <c r="C181"/>
  <c r="B167"/>
  <c r="D135"/>
  <c r="E150" s="1"/>
  <c r="D129"/>
  <c r="D150" s="1"/>
  <c r="D115"/>
  <c r="B123" s="1"/>
  <c r="B105"/>
  <c r="E105" s="1"/>
  <c r="C109" s="1"/>
  <c r="E101"/>
  <c r="B109" s="1"/>
  <c r="C89"/>
  <c r="C85"/>
  <c r="C63"/>
  <c r="B47"/>
  <c r="B40"/>
  <c r="C47" s="1"/>
  <c r="E20"/>
  <c r="E221" i="20"/>
  <c r="E224"/>
  <c r="E226"/>
  <c r="E227"/>
  <c r="E228"/>
  <c r="E231"/>
  <c r="D230"/>
  <c r="E230" s="1"/>
  <c r="D229"/>
  <c r="E229" s="1"/>
  <c r="D225"/>
  <c r="E225" s="1"/>
  <c r="D223"/>
  <c r="E223" s="1"/>
  <c r="D222"/>
  <c r="E222" s="1"/>
  <c r="D220"/>
  <c r="E220" s="1"/>
  <c r="C206"/>
  <c r="B47"/>
  <c r="D135"/>
  <c r="E151" s="1"/>
  <c r="D129"/>
  <c r="B40"/>
  <c r="D40" s="1"/>
  <c r="C47" s="1"/>
  <c r="I47" i="21" l="1"/>
  <c r="B59" s="1"/>
  <c r="E59" s="1"/>
  <c r="D267"/>
  <c r="D268" i="20"/>
  <c r="C268" i="22"/>
  <c r="D268" s="1"/>
  <c r="C272" s="1"/>
  <c r="D259"/>
  <c r="B263" s="1"/>
  <c r="C263" s="1"/>
  <c r="B272" s="1"/>
  <c r="D259" i="21"/>
  <c r="B263" s="1"/>
  <c r="C263" s="1"/>
  <c r="B275" s="1"/>
  <c r="B119"/>
  <c r="D119" s="1"/>
  <c r="C123" s="1"/>
  <c r="D123" s="1"/>
  <c r="C150" s="1"/>
  <c r="I47" i="22"/>
  <c r="B55" s="1"/>
  <c r="D55" s="1"/>
  <c r="D109"/>
  <c r="B150" s="1"/>
  <c r="E231"/>
  <c r="C241" s="1"/>
  <c r="B119"/>
  <c r="D119" s="1"/>
  <c r="C123" s="1"/>
  <c r="D123" s="1"/>
  <c r="C150" s="1"/>
  <c r="D109" i="21"/>
  <c r="B150" s="1"/>
  <c r="E231"/>
  <c r="C241" s="1"/>
  <c r="E232" i="20"/>
  <c r="C242" s="1"/>
  <c r="C196"/>
  <c r="C182"/>
  <c r="B168"/>
  <c r="D151"/>
  <c r="D115"/>
  <c r="B119" s="1"/>
  <c r="D119" s="1"/>
  <c r="C123" s="1"/>
  <c r="B105"/>
  <c r="E101"/>
  <c r="B109" s="1"/>
  <c r="C89"/>
  <c r="C85"/>
  <c r="C63"/>
  <c r="H150" i="22" l="1"/>
  <c r="D156" s="1"/>
  <c r="H150" i="21"/>
  <c r="D156" s="1"/>
  <c r="B55"/>
  <c r="D55" s="1"/>
  <c r="B67" s="1"/>
  <c r="B63"/>
  <c r="D63" s="1"/>
  <c r="B201" s="1"/>
  <c r="B288"/>
  <c r="E275"/>
  <c r="B292" s="1"/>
  <c r="D272" i="22"/>
  <c r="B289" s="1"/>
  <c r="B59"/>
  <c r="E59" s="1"/>
  <c r="C67" s="1"/>
  <c r="B63"/>
  <c r="D63" s="1"/>
  <c r="B201" s="1"/>
  <c r="B285"/>
  <c r="B67"/>
  <c r="D201"/>
  <c r="C67" i="21"/>
  <c r="C201"/>
  <c r="E105" i="20"/>
  <c r="C109" s="1"/>
  <c r="D109" s="1"/>
  <c r="B151" s="1"/>
  <c r="D260"/>
  <c r="B264" s="1"/>
  <c r="B123"/>
  <c r="D123" s="1"/>
  <c r="C151" s="1"/>
  <c r="H151" l="1"/>
  <c r="D157" s="1"/>
  <c r="D201" i="21"/>
  <c r="E201" s="1"/>
  <c r="B205" s="1"/>
  <c r="D205" s="1"/>
  <c r="D211" s="1"/>
  <c r="D67"/>
  <c r="E67" s="1"/>
  <c r="C201" i="22"/>
  <c r="E201" s="1"/>
  <c r="B205" s="1"/>
  <c r="D205" s="1"/>
  <c r="D211" s="1"/>
  <c r="C264" i="20"/>
  <c r="B276" s="1"/>
  <c r="E276" s="1"/>
  <c r="B293" s="1"/>
  <c r="D67" i="22"/>
  <c r="E67" s="1"/>
  <c r="I47" i="20"/>
  <c r="B289" s="1"/>
  <c r="B156" i="22" l="1"/>
  <c r="B85"/>
  <c r="D85" s="1"/>
  <c r="B93" s="1"/>
  <c r="B89"/>
  <c r="D89" s="1"/>
  <c r="B156" i="21"/>
  <c r="B89"/>
  <c r="D89" s="1"/>
  <c r="B85"/>
  <c r="D85" s="1"/>
  <c r="B93" s="1"/>
  <c r="B55" i="20"/>
  <c r="D55" s="1"/>
  <c r="B63"/>
  <c r="D63" s="1"/>
  <c r="B59"/>
  <c r="E59" s="1"/>
  <c r="C93" i="22" l="1"/>
  <c r="D93" s="1"/>
  <c r="C156" s="1"/>
  <c r="E156" s="1"/>
  <c r="B191"/>
  <c r="D191" s="1"/>
  <c r="B177"/>
  <c r="D177" s="1"/>
  <c r="B177" i="21"/>
  <c r="D177" s="1"/>
  <c r="C93"/>
  <c r="D93" s="1"/>
  <c r="C156" s="1"/>
  <c r="E156" s="1"/>
  <c r="B191"/>
  <c r="D191" s="1"/>
  <c r="D67" i="20"/>
  <c r="B202"/>
  <c r="D202"/>
  <c r="B67"/>
  <c r="C67"/>
  <c r="C202"/>
  <c r="B286" i="22" l="1"/>
  <c r="B173"/>
  <c r="D173" s="1"/>
  <c r="B181" s="1"/>
  <c r="D181" s="1"/>
  <c r="B211" s="1"/>
  <c r="B187"/>
  <c r="D187" s="1"/>
  <c r="B195" s="1"/>
  <c r="D195" s="1"/>
  <c r="C211" s="1"/>
  <c r="B289" i="21"/>
  <c r="B187"/>
  <c r="D187" s="1"/>
  <c r="B195" s="1"/>
  <c r="D195" s="1"/>
  <c r="C211" s="1"/>
  <c r="B173"/>
  <c r="D173" s="1"/>
  <c r="B181" s="1"/>
  <c r="D181" s="1"/>
  <c r="B211" s="1"/>
  <c r="E202" i="20"/>
  <c r="B206" s="1"/>
  <c r="D206" s="1"/>
  <c r="D212" s="1"/>
  <c r="E67"/>
  <c r="B157" s="1"/>
  <c r="G116" i="19"/>
  <c r="G110"/>
  <c r="G109"/>
  <c r="G107"/>
  <c r="F99"/>
  <c r="F98"/>
  <c r="U93"/>
  <c r="F93"/>
  <c r="U92"/>
  <c r="F92"/>
  <c r="U87"/>
  <c r="F87"/>
  <c r="U86"/>
  <c r="F86"/>
  <c r="U81"/>
  <c r="F81"/>
  <c r="U80"/>
  <c r="F80"/>
  <c r="T20"/>
  <c r="T33" s="1"/>
  <c r="E20"/>
  <c r="E33" s="1"/>
  <c r="T19"/>
  <c r="U19" s="1"/>
  <c r="E19"/>
  <c r="F19" s="1"/>
  <c r="U8"/>
  <c r="F8"/>
  <c r="U7"/>
  <c r="F7"/>
  <c r="U9" l="1"/>
  <c r="E211" i="21"/>
  <c r="B290" s="1"/>
  <c r="E211" i="22"/>
  <c r="B287" s="1"/>
  <c r="F9" i="19"/>
  <c r="E105" s="1"/>
  <c r="G105" s="1"/>
  <c r="D85" i="20"/>
  <c r="B93" s="1"/>
  <c r="B89"/>
  <c r="D89" s="1"/>
  <c r="B178" s="1"/>
  <c r="D178" s="1"/>
  <c r="T39" i="19"/>
  <c r="U33"/>
  <c r="F33"/>
  <c r="E39"/>
  <c r="F20"/>
  <c r="F21" s="1"/>
  <c r="U20"/>
  <c r="U21" s="1"/>
  <c r="E32"/>
  <c r="T32"/>
  <c r="B237" i="21" l="1"/>
  <c r="D237" s="1"/>
  <c r="B241" s="1"/>
  <c r="D241" s="1"/>
  <c r="E241" s="1"/>
  <c r="B248" s="1"/>
  <c r="D248" s="1"/>
  <c r="B291" s="1"/>
  <c r="B237" i="22"/>
  <c r="D237" s="1"/>
  <c r="B241" s="1"/>
  <c r="D241" s="1"/>
  <c r="E241" s="1"/>
  <c r="B248" s="1"/>
  <c r="D248" s="1"/>
  <c r="B288" s="1"/>
  <c r="B192" i="20"/>
  <c r="D192" s="1"/>
  <c r="C93"/>
  <c r="D93" s="1"/>
  <c r="C157" s="1"/>
  <c r="E157" s="1"/>
  <c r="B290" s="1"/>
  <c r="E44" i="19"/>
  <c r="F32"/>
  <c r="F34" s="1"/>
  <c r="E38"/>
  <c r="F38" s="1"/>
  <c r="F39"/>
  <c r="E45"/>
  <c r="U39"/>
  <c r="T45"/>
  <c r="T38"/>
  <c r="U32"/>
  <c r="U34" s="1"/>
  <c r="B281" i="21" l="1"/>
  <c r="D281" s="1"/>
  <c r="B293" s="1"/>
  <c r="B294" s="1"/>
  <c r="M57" i="19" s="1"/>
  <c r="N57" s="1"/>
  <c r="B278" i="22"/>
  <c r="D278" s="1"/>
  <c r="B290" s="1"/>
  <c r="B291" s="1"/>
  <c r="M19" i="19" s="1"/>
  <c r="N19" s="1"/>
  <c r="B174" i="20"/>
  <c r="D174" s="1"/>
  <c r="B182" s="1"/>
  <c r="D182" s="1"/>
  <c r="B212" s="1"/>
  <c r="B188"/>
  <c r="D188" s="1"/>
  <c r="B196" s="1"/>
  <c r="D196" s="1"/>
  <c r="C212" s="1"/>
  <c r="T44" i="19"/>
  <c r="U38"/>
  <c r="U40" s="1"/>
  <c r="E63"/>
  <c r="F45"/>
  <c r="E62"/>
  <c r="F44"/>
  <c r="U45"/>
  <c r="T63"/>
  <c r="F40"/>
  <c r="M26" l="1"/>
  <c r="N26" s="1"/>
  <c r="M38"/>
  <c r="N38" s="1"/>
  <c r="M7"/>
  <c r="N7" s="1"/>
  <c r="M13"/>
  <c r="N13" s="1"/>
  <c r="M68"/>
  <c r="N68" s="1"/>
  <c r="M44"/>
  <c r="N44" s="1"/>
  <c r="M50"/>
  <c r="N50" s="1"/>
  <c r="M25"/>
  <c r="N25" s="1"/>
  <c r="M62"/>
  <c r="N62" s="1"/>
  <c r="O92"/>
  <c r="M74"/>
  <c r="N74" s="1"/>
  <c r="M32"/>
  <c r="N32" s="1"/>
  <c r="M56"/>
  <c r="N56" s="1"/>
  <c r="O86"/>
  <c r="O80"/>
  <c r="P80" s="1"/>
  <c r="O98"/>
  <c r="E212" i="20"/>
  <c r="B291" s="1"/>
  <c r="T69" i="19"/>
  <c r="U63"/>
  <c r="E69"/>
  <c r="F63"/>
  <c r="T62"/>
  <c r="U44"/>
  <c r="U46" s="1"/>
  <c r="F46"/>
  <c r="E112" s="1"/>
  <c r="G112" s="1"/>
  <c r="F62"/>
  <c r="E68"/>
  <c r="N58" l="1"/>
  <c r="M112" s="1"/>
  <c r="O112" s="1"/>
  <c r="Y112" s="1"/>
  <c r="F64"/>
  <c r="E114" s="1"/>
  <c r="G114" s="1"/>
  <c r="N27"/>
  <c r="M108" s="1"/>
  <c r="O108" s="1"/>
  <c r="Y108" s="1"/>
  <c r="B238" i="20"/>
  <c r="D238" s="1"/>
  <c r="B242" s="1"/>
  <c r="D242" s="1"/>
  <c r="E242" s="1"/>
  <c r="B249" s="1"/>
  <c r="E75" i="19"/>
  <c r="F69"/>
  <c r="F68"/>
  <c r="E74"/>
  <c r="U62"/>
  <c r="U64" s="1"/>
  <c r="T68"/>
  <c r="U69"/>
  <c r="T75"/>
  <c r="F70" l="1"/>
  <c r="E115" s="1"/>
  <c r="G115" s="1"/>
  <c r="D249" i="20"/>
  <c r="F75" i="19"/>
  <c r="G81"/>
  <c r="V81"/>
  <c r="U75"/>
  <c r="F74"/>
  <c r="G80"/>
  <c r="T74"/>
  <c r="U68"/>
  <c r="U70" s="1"/>
  <c r="F76" l="1"/>
  <c r="B292" i="20"/>
  <c r="B282"/>
  <c r="D282" s="1"/>
  <c r="B294" s="1"/>
  <c r="G86" i="19"/>
  <c r="H80"/>
  <c r="G87"/>
  <c r="H81"/>
  <c r="U74"/>
  <c r="U76" s="1"/>
  <c r="V80"/>
  <c r="V87"/>
  <c r="W81"/>
  <c r="B295" i="20" l="1"/>
  <c r="M8" i="19" s="1"/>
  <c r="N8" s="1"/>
  <c r="N9" s="1"/>
  <c r="G92"/>
  <c r="H86"/>
  <c r="V86"/>
  <c r="W80"/>
  <c r="W82" s="1"/>
  <c r="V93"/>
  <c r="W93" s="1"/>
  <c r="W87"/>
  <c r="H82"/>
  <c r="E121" s="1"/>
  <c r="G121" s="1"/>
  <c r="G93"/>
  <c r="H87"/>
  <c r="M105" l="1"/>
  <c r="O105" s="1"/>
  <c r="Y105" s="1"/>
  <c r="O87"/>
  <c r="P87" s="1"/>
  <c r="M33"/>
  <c r="N33" s="1"/>
  <c r="N34" s="1"/>
  <c r="M109" s="1"/>
  <c r="O109" s="1"/>
  <c r="Y109" s="1"/>
  <c r="M39"/>
  <c r="N39" s="1"/>
  <c r="N40" s="1"/>
  <c r="M110" s="1"/>
  <c r="O110" s="1"/>
  <c r="Y110" s="1"/>
  <c r="O93"/>
  <c r="M45"/>
  <c r="N45" s="1"/>
  <c r="N46" s="1"/>
  <c r="M111" s="1"/>
  <c r="O111" s="1"/>
  <c r="Y111" s="1"/>
  <c r="O99"/>
  <c r="M51"/>
  <c r="N51" s="1"/>
  <c r="N52" s="1"/>
  <c r="M69"/>
  <c r="N69" s="1"/>
  <c r="N70" s="1"/>
  <c r="M115" s="1"/>
  <c r="O115" s="1"/>
  <c r="Y115" s="1"/>
  <c r="M63"/>
  <c r="N63" s="1"/>
  <c r="N64" s="1"/>
  <c r="M20"/>
  <c r="N20" s="1"/>
  <c r="N21" s="1"/>
  <c r="M107" s="1"/>
  <c r="O107" s="1"/>
  <c r="Y107" s="1"/>
  <c r="M75"/>
  <c r="N75" s="1"/>
  <c r="N76" s="1"/>
  <c r="M14"/>
  <c r="N14" s="1"/>
  <c r="N15" s="1"/>
  <c r="M106" s="1"/>
  <c r="O106" s="1"/>
  <c r="Y106" s="1"/>
  <c r="O81"/>
  <c r="P81" s="1"/>
  <c r="P82" s="1"/>
  <c r="M121" s="1"/>
  <c r="O121" s="1"/>
  <c r="Y121" s="1"/>
  <c r="H88"/>
  <c r="G98"/>
  <c r="H98" s="1"/>
  <c r="H92"/>
  <c r="G99"/>
  <c r="H99" s="1"/>
  <c r="H93"/>
  <c r="V92"/>
  <c r="W92" s="1"/>
  <c r="W94" s="1"/>
  <c r="W86"/>
  <c r="W88" s="1"/>
  <c r="P86"/>
  <c r="M117" l="1"/>
  <c r="O117" s="1"/>
  <c r="Y117" s="1"/>
  <c r="M118"/>
  <c r="O118" s="1"/>
  <c r="Y118" s="1"/>
  <c r="M114"/>
  <c r="O114" s="1"/>
  <c r="Y114" s="1"/>
  <c r="M116"/>
  <c r="O116" s="1"/>
  <c r="Y116" s="1"/>
  <c r="H94"/>
  <c r="E123" s="1"/>
  <c r="G123" s="1"/>
  <c r="G124" s="1"/>
  <c r="G126" s="1"/>
  <c r="P88"/>
  <c r="M122" s="1"/>
  <c r="O122" s="1"/>
  <c r="Y122" s="1"/>
  <c r="H100"/>
  <c r="E119" s="1"/>
  <c r="P92"/>
  <c r="P98"/>
  <c r="P99"/>
  <c r="P93"/>
  <c r="P100" l="1"/>
  <c r="M119" s="1"/>
  <c r="O119" s="1"/>
  <c r="Y119" s="1"/>
  <c r="P94"/>
  <c r="M123" s="1"/>
  <c r="O123" s="1"/>
  <c r="Y123" s="1"/>
  <c r="Y124" l="1"/>
  <c r="O124"/>
  <c r="O125" s="1"/>
  <c r="A293" i="22"/>
  <c r="A296" i="21"/>
  <c r="A297" i="20"/>
  <c r="B86" i="23" s="1"/>
  <c r="B18" i="24" s="1"/>
</calcChain>
</file>

<file path=xl/comments1.xml><?xml version="1.0" encoding="utf-8"?>
<comments xmlns="http://schemas.openxmlformats.org/spreadsheetml/2006/main">
  <authors>
    <author/>
    <author>DLMA1</author>
  </authors>
  <commentList>
    <comment ref="C5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C6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10" authorId="0">
      <text>
        <r>
          <rPr>
            <sz val="10"/>
            <rFont val="Arial"/>
            <family val="2"/>
          </rPr>
          <t>DD/MM/AAAA</t>
        </r>
      </text>
    </comment>
    <comment ref="C11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2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3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6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6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6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  <comment ref="B85" authorId="1">
      <text>
        <r>
          <rPr>
            <b/>
            <sz val="9"/>
            <color indexed="81"/>
            <rFont val="Segoe UI"/>
            <family val="2"/>
          </rPr>
          <t>DLMA1:</t>
        </r>
        <r>
          <rPr>
            <sz val="9"/>
            <color indexed="81"/>
            <rFont val="Segoe UI"/>
            <family val="2"/>
          </rPr>
          <t xml:space="preserve">
Mod1+Mod2.1
Remuneração + Férias, 1/3 constitucional, 13° salário)</t>
        </r>
      </text>
    </comment>
    <comment ref="C85" authorId="1">
      <text>
        <r>
          <rPr>
            <b/>
            <sz val="9"/>
            <color indexed="81"/>
            <rFont val="Segoe UI"/>
            <family val="2"/>
          </rPr>
          <t>DLMA1:</t>
        </r>
        <r>
          <rPr>
            <sz val="9"/>
            <color indexed="81"/>
            <rFont val="Segoe UI"/>
            <family val="2"/>
          </rPr>
          <t xml:space="preserve">
Encargos Sociais - FGTS</t>
        </r>
      </text>
    </comment>
    <comment ref="B89" authorId="1">
      <text>
        <r>
          <rPr>
            <b/>
            <sz val="9"/>
            <color indexed="81"/>
            <rFont val="Segoe UI"/>
            <family val="2"/>
          </rPr>
          <t>DLMA1:</t>
        </r>
        <r>
          <rPr>
            <sz val="9"/>
            <color indexed="81"/>
            <rFont val="Segoe UI"/>
            <family val="2"/>
          </rPr>
          <t xml:space="preserve">
Mod1+Mod2.1
Remuneração + Férias, 1/3 constitucional, 13° salário)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5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C6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10" authorId="0">
      <text>
        <r>
          <rPr>
            <sz val="10"/>
            <rFont val="Arial"/>
            <family val="2"/>
          </rPr>
          <t>DD/MM/AAAA</t>
        </r>
      </text>
    </comment>
    <comment ref="C11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2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3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6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6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6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5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C6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10" authorId="0">
      <text>
        <r>
          <rPr>
            <sz val="10"/>
            <rFont val="Arial"/>
            <family val="2"/>
          </rPr>
          <t>DD/MM/AAAA</t>
        </r>
      </text>
    </comment>
    <comment ref="C11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2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3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6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6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6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</commentList>
</comments>
</file>

<file path=xl/sharedStrings.xml><?xml version="1.0" encoding="utf-8"?>
<sst xmlns="http://schemas.openxmlformats.org/spreadsheetml/2006/main" count="1921" uniqueCount="433">
  <si>
    <t>PLANILHA DE CUSTO E FORMAÇÃO DE PREÇO</t>
  </si>
  <si>
    <t>GRUPO - UNIDADES DISPERSAS</t>
  </si>
  <si>
    <t>Modelo de planilha de composição de custo</t>
  </si>
  <si>
    <t>Nº Processo:</t>
  </si>
  <si>
    <t>Licitação Nº:</t>
  </si>
  <si>
    <t>Dia:</t>
  </si>
  <si>
    <t>DISCRIMINAÇÃO DOS SERVIÇOS (DADOS REFERENTE À CONTRATAÇÃO)</t>
  </si>
  <si>
    <t>A</t>
  </si>
  <si>
    <t>Data de apresentação da proposta (dia/mês/ano)</t>
  </si>
  <si>
    <t>B</t>
  </si>
  <si>
    <t>Município/UF:</t>
  </si>
  <si>
    <t>Manaus/AM</t>
  </si>
  <si>
    <t>C</t>
  </si>
  <si>
    <t>Ano, Acordo, Convenção ou Sentença Normativa em Dissídio Coletivo:</t>
  </si>
  <si>
    <t>D</t>
  </si>
  <si>
    <t>Nº de meses de execução contratual:</t>
  </si>
  <si>
    <t>IDENTIFICAÇÃO DO SERVIÇO</t>
  </si>
  <si>
    <t>Tipo de Serviço</t>
  </si>
  <si>
    <t>Unidade de Medida</t>
  </si>
  <si>
    <t>Quantidade (total) a contratar (em função da unidade de medida)</t>
  </si>
  <si>
    <t>Limpeza e Conservação</t>
  </si>
  <si>
    <t>m²</t>
  </si>
  <si>
    <t>Área Interna</t>
  </si>
  <si>
    <t>Área Externa</t>
  </si>
  <si>
    <t>Esquadrias</t>
  </si>
  <si>
    <t>Fachada Envidraçada</t>
  </si>
  <si>
    <t>MÃO-DE-OBRA VINCULADA À EXECUÇÃO CONTRATUAL</t>
  </si>
  <si>
    <t>Dados complementares para composição dos custos referente à mão-de-obra</t>
  </si>
  <si>
    <t>Tipo de serviço (mesmo serviço com características distintas):</t>
  </si>
  <si>
    <t>Salário Normativo da categoria profissional:</t>
  </si>
  <si>
    <t>Categoria profissional (vinculada à execução contratual):</t>
  </si>
  <si>
    <t>Auxiliar de Serviços Gerais - 44 horas semanais</t>
  </si>
  <si>
    <t>Data base da categoria (dia/mês/ano):</t>
  </si>
  <si>
    <t>MÓDULO 1 - REMUNERAÇÃO</t>
  </si>
  <si>
    <t>SALÁRIO BASE</t>
  </si>
  <si>
    <t>Auxiliar de Serviços Gerais</t>
  </si>
  <si>
    <t>ADICIONAL DE INSALUBRIDADE</t>
  </si>
  <si>
    <t>Categoria</t>
  </si>
  <si>
    <t>Base de cálculo</t>
  </si>
  <si>
    <t>Percentual</t>
  </si>
  <si>
    <t>Valor</t>
  </si>
  <si>
    <t>Salário Base</t>
  </si>
  <si>
    <t>Insalubridade</t>
  </si>
  <si>
    <t>Adicional XXX</t>
  </si>
  <si>
    <t>Total</t>
  </si>
  <si>
    <t>MÓDULO 2 - ENCARGOS E BENEFÍCIOS(ANUAIS, MENSAIS E DIÁRIOS)</t>
  </si>
  <si>
    <t>SUBMÓDULO 2.1 - FÉRIAS, 1/3 CONSTITUCIONAL E 13º SALÁRIO</t>
  </si>
  <si>
    <t>FÉRIAS</t>
  </si>
  <si>
    <t>ADICIONAL DE FÉRIAS - 1/3 CONSTITUCIONAL</t>
  </si>
  <si>
    <t>Alíquota Adicional</t>
  </si>
  <si>
    <t>13° SALÁRIO</t>
  </si>
  <si>
    <t xml:space="preserve">Férias </t>
  </si>
  <si>
    <t>1/3 Constitucional</t>
  </si>
  <si>
    <t>13° Salário</t>
  </si>
  <si>
    <t>SUBMÓDULO 2.2 - ENCARGOS PREVIDENCIÁRIOS E FGTS</t>
  </si>
  <si>
    <t>COMPOSIÇÃO DO GPS E FGTS</t>
  </si>
  <si>
    <t>Encargos</t>
  </si>
  <si>
    <t>INSS - empregador</t>
  </si>
  <si>
    <t>Salário-Educação</t>
  </si>
  <si>
    <t>SAT- GIL/RAT</t>
  </si>
  <si>
    <t>SESC</t>
  </si>
  <si>
    <t>SENAC</t>
  </si>
  <si>
    <t>SEBRAE</t>
  </si>
  <si>
    <t>INCRA</t>
  </si>
  <si>
    <t>FGTS</t>
  </si>
  <si>
    <t>TOTAL</t>
  </si>
  <si>
    <t>GPS - GUIA DA PREVIDÊNCIA SOCIAL</t>
  </si>
  <si>
    <t>FGTS - FUNDO DE GARANTIA POR TEMPO DE SERVIÇO</t>
  </si>
  <si>
    <t>GPS</t>
  </si>
  <si>
    <t>SUBMÓDULO 2.3 - BENEFÍCIOS MENSAIS E DIÁRIOS</t>
  </si>
  <si>
    <t>VALE TRANSPORTE</t>
  </si>
  <si>
    <t>CUSTO DA PASSAGEM</t>
  </si>
  <si>
    <t>Vr. Unitário</t>
  </si>
  <si>
    <t xml:space="preserve">Vales por dia </t>
  </si>
  <si>
    <t>Dias efetivamente trabalhados</t>
  </si>
  <si>
    <t>Custo total</t>
  </si>
  <si>
    <t>DESCONTO DO VALE TRANSPORTE</t>
  </si>
  <si>
    <t>Proporcionalidade</t>
  </si>
  <si>
    <t>Desconto</t>
  </si>
  <si>
    <t>CUSTO EFETIVO DO VALE TRANSPORTE</t>
  </si>
  <si>
    <t>Valor do desconto</t>
  </si>
  <si>
    <t>Custo efetivo</t>
  </si>
  <si>
    <t>VALE ALIMENTAÇÃO/REFEIÇÃO</t>
  </si>
  <si>
    <t>Valor diário</t>
  </si>
  <si>
    <t>DESCONTO DO VALE ALIMENTAÇÃO/REFEIÇÃO</t>
  </si>
  <si>
    <t>CUSTO EFETIVO DO VALE ALIMENTAÇÃO/REFEIÇÃO</t>
  </si>
  <si>
    <t>BENEFÍCIO 1</t>
  </si>
  <si>
    <t>CESTA BÁSICA</t>
  </si>
  <si>
    <t>BENEFÍCIO 2</t>
  </si>
  <si>
    <t>ASSISTÊNCIA SOCIAL E FAMILIAR</t>
  </si>
  <si>
    <t>Vale Transporte</t>
  </si>
  <si>
    <t>Vale Refeição</t>
  </si>
  <si>
    <t>Cesta Básica</t>
  </si>
  <si>
    <t>Assistência Social</t>
  </si>
  <si>
    <t>MÓDULO 2 - ENCARGOS E BENEFÍCIOS (ANUAIS, MENSAIS E DIÁRIOS)</t>
  </si>
  <si>
    <t>Submódulo 2.1</t>
  </si>
  <si>
    <t>Submódulo 2.2</t>
  </si>
  <si>
    <t>Submódulo 2.3</t>
  </si>
  <si>
    <t>MÓDULO 3 - PROVISÃO PARA RESCISÃO</t>
  </si>
  <si>
    <t>PERCENTUAIS POR TIPO DE
 DESLIGAMENTO</t>
  </si>
  <si>
    <t>Tipos</t>
  </si>
  <si>
    <t>Demissão 
SEM  justa Causa</t>
  </si>
  <si>
    <t>SEM justa Causa
AP INDENIZADO</t>
  </si>
  <si>
    <t>SEM justa Causa 
AP TRABALHADO</t>
  </si>
  <si>
    <t>Demissão
 COM  justa Causa</t>
  </si>
  <si>
    <t>Desligamentos 
OUTROS TIPOS</t>
  </si>
  <si>
    <t>SUBMÓDULO 3.1 - AVISO PRÉVIO INDENIZADO</t>
  </si>
  <si>
    <t>AVISO PRÉVIO INDENIZADO</t>
  </si>
  <si>
    <t>mod. 1 + (mód. 2 - GPS)</t>
  </si>
  <si>
    <t>nº de meses</t>
  </si>
  <si>
    <t>MULTA DO FGTS E CONTRIBUIÇÃO SOCIAL SOBRE O AVISO PRÉVIO INDENIZADO</t>
  </si>
  <si>
    <t>Percentual da 
Multa</t>
  </si>
  <si>
    <t>SUBMÓDULO 3.1 - CUSTO DO AVISO PRÉVIO INDENIZADO</t>
  </si>
  <si>
    <t>SUBMÓDULO 3.2 - AVISO PRÉVIO TRABALHADO</t>
  </si>
  <si>
    <t>AVISO PRÉVIO TRABALHADO</t>
  </si>
  <si>
    <t>MULTA DO FGTS E CONTRIBUIÇÃO SOCIAL SOBRE O AVISO PRÉVIO TRABALHADO</t>
  </si>
  <si>
    <t>SUBMÓDULO 3.2 - CUSTO DO AVISO PRÉVIO TRABALHADO</t>
  </si>
  <si>
    <t>SUBMÓDULO 3.3 - DEMISSÃO POR JUSTA CAUSA</t>
  </si>
  <si>
    <t>BASE DE CÁLCULO PARA DEMISSÃO POR JUSTA CAUSA</t>
  </si>
  <si>
    <t>Valor provisionado do 13º salário</t>
  </si>
  <si>
    <t>Valor provisionado do Adicional de Férias</t>
  </si>
  <si>
    <t>Valor provisionado das Férias</t>
  </si>
  <si>
    <t>SUBMÓDULO 3.3 - CUSTO DA DEMISSÃO COM JUSTA CAUSA</t>
  </si>
  <si>
    <t>Base de Cálculo</t>
  </si>
  <si>
    <t>Submódulo 3.1</t>
  </si>
  <si>
    <t>Submódulo 3.2</t>
  </si>
  <si>
    <t>Submódulo 3.3</t>
  </si>
  <si>
    <t>MÓDULO 4 - CUSTO DE REPOSIÇÃO DO PROFISSIONAL AUSENTE</t>
  </si>
  <si>
    <t xml:space="preserve">AUXILIAR DE SERVIÇOS GERAIS </t>
  </si>
  <si>
    <t xml:space="preserve">Memória de Cálculo - número de dias de reposição do profissional ausente para cada evento </t>
  </si>
  <si>
    <t>Incidencia anual</t>
  </si>
  <si>
    <t>Duração Legal  
da Ausência</t>
  </si>
  <si>
    <t>44 SEM</t>
  </si>
  <si>
    <t>Proporção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</si>
  <si>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</si>
  <si>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</si>
  <si>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</si>
  <si>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</si>
  <si>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</si>
  <si>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</si>
  <si>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</si>
  <si>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</si>
  <si>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</si>
  <si>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</si>
  <si>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</si>
  <si>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</si>
  <si>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</si>
  <si>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ESTIMATIVA DA NECESSIDADE DE REPOSIÇÃO DE PROFISSIONAL</t>
  </si>
  <si>
    <t>SUBMÓDULO 4.1 - AUSÊNCIAS LEGAIS</t>
  </si>
  <si>
    <t>CUSTO DIÁRIO PARA O REPOSITOR</t>
  </si>
  <si>
    <t>Divisor do dia</t>
  </si>
  <si>
    <t>Custo diário</t>
  </si>
  <si>
    <t>Necessidade de Reposição</t>
  </si>
  <si>
    <t>Custo anual</t>
  </si>
  <si>
    <t>Custo mensal</t>
  </si>
  <si>
    <t>Submódulo 4.1</t>
  </si>
  <si>
    <t>Submódulo 4.2</t>
  </si>
  <si>
    <t>MÓDULO 5 - INSUMOS DE MÃO DE OBRA</t>
  </si>
  <si>
    <t xml:space="preserve">UNIFORMES - COMPOSIÇÃO - VALOR ANUAL </t>
  </si>
  <si>
    <t>Item</t>
  </si>
  <si>
    <t>qte</t>
  </si>
  <si>
    <t>Vr. Unitario</t>
  </si>
  <si>
    <t>Calça, confeccionada em tecido brim, com elástico total e cordão para amarrar, com dois bolsos frontais.</t>
  </si>
  <si>
    <t>Camisa confeccionada em tecido de brim, fechada, com bolso superior esquerdo, mangas curtas, insígnia da licitante vencedora no bolso.</t>
  </si>
  <si>
    <t>Par de meia em algodão, tipo cano longo, de boa qualidade. Marca Trifill, Lupo ou similar.</t>
  </si>
  <si>
    <t>Botas, cano curto, solado antideslizante e antiderrapante, para atividades com água, hidro-repelente, com sistema de elástico, antibactérias.</t>
  </si>
  <si>
    <t>Crachá (confeccionado em cartão de PVC, medindo 85 x 50 mm equipado de presilha, tipo jacaré).</t>
  </si>
  <si>
    <t xml:space="preserve">Custo anual por Empregado  </t>
  </si>
  <si>
    <t>UNIFORMES</t>
  </si>
  <si>
    <t xml:space="preserve">Custo mensal </t>
  </si>
  <si>
    <t>CUSTO DOS MATERIAIS</t>
  </si>
  <si>
    <t>Valor por empregado</t>
  </si>
  <si>
    <t>CUSTO DOS EQUIPAMENTOS</t>
  </si>
  <si>
    <t>Módulo 5 - INSUMOS DE MÃO DE OBRA</t>
  </si>
  <si>
    <t>Uniforme</t>
  </si>
  <si>
    <t>Materiais</t>
  </si>
  <si>
    <t>Equipamentos</t>
  </si>
  <si>
    <t>MÓDULO 6 - CUSTOS INDIRETOS, TRIBUTOS E LUCRO</t>
  </si>
  <si>
    <t>VALOR POR TRABALHADOR</t>
  </si>
  <si>
    <t>VALOR TOTAL POR TRABALHADOR</t>
  </si>
  <si>
    <t>Módulo</t>
  </si>
  <si>
    <t>Remuneração</t>
  </si>
  <si>
    <t>Encargos e Benefícios</t>
  </si>
  <si>
    <t>Rescisão</t>
  </si>
  <si>
    <t>Reposição do Profissional Ausente</t>
  </si>
  <si>
    <t>Insumos Diversos</t>
  </si>
  <si>
    <t>Custos Indiretos, Tributos e Lucro</t>
  </si>
  <si>
    <t>Valor por Empregado</t>
  </si>
  <si>
    <t>UNIVERSIDADE FEDERAL DO AMAZONAS</t>
  </si>
  <si>
    <t>Departamento de Logística e Meio Ambiente</t>
  </si>
  <si>
    <t>______________________________</t>
  </si>
  <si>
    <t>Auxiliar de Serviços Gerais c/ Insalubridade (40%) - 44 horas semanais</t>
  </si>
  <si>
    <t>Encarregado de Serviços - 44 horas semanais</t>
  </si>
  <si>
    <t>Encarregado</t>
  </si>
  <si>
    <t xml:space="preserve">ENCARREGADO DE SERVIÇOS  </t>
  </si>
  <si>
    <t>CUSTO MENSAL DOS EQUIPAMENTOS</t>
  </si>
  <si>
    <t>Equipamento</t>
  </si>
  <si>
    <t xml:space="preserve">Encarregado de Serviços </t>
  </si>
  <si>
    <t>ANEXO I</t>
  </si>
  <si>
    <t>Pesquisa Materiais Estimados - Unidades Dispersas da Fundação Universidade do Amazonas</t>
  </si>
  <si>
    <t>ITEM</t>
  </si>
  <si>
    <t xml:space="preserve">ESPECIFICAÇÃO DOS MATERIAIS </t>
  </si>
  <si>
    <t>UNIDADE</t>
  </si>
  <si>
    <t>QTDE ESTIMADA ANUAL</t>
  </si>
  <si>
    <t>MARCA/FABRICANTE</t>
  </si>
  <si>
    <t>PREÇO MÉDIO</t>
  </si>
  <si>
    <t>UNITÁRIO</t>
  </si>
  <si>
    <t xml:space="preserve">TOTAL </t>
  </si>
  <si>
    <t>Água sanitária, galão de 5 litros</t>
  </si>
  <si>
    <t>unidade</t>
  </si>
  <si>
    <t>Álcool etílico líquido, 54º INPM p/ limpeza, 1 L</t>
  </si>
  <si>
    <t>*Álcool etílico em gel, hidratado, 70º INPM, 1 L</t>
  </si>
  <si>
    <t xml:space="preserve">*Avental de Limpeza descartável, pacote com 10 unidades </t>
  </si>
  <si>
    <t>pacote</t>
  </si>
  <si>
    <t>Balde plástico para água (quinze litros)</t>
  </si>
  <si>
    <t>Balde plástico para lixo (cinquenta litros)</t>
  </si>
  <si>
    <t>Balde plástico para lixo (cem litros)</t>
  </si>
  <si>
    <t>Cera líquida incolor para piso, biodegradável 5 litros</t>
  </si>
  <si>
    <t>Capa de chuva com manga e capuz</t>
  </si>
  <si>
    <t>*Coletor de material perfurocortante em papelão, com identificação de resíduo infectante, capacidade de 3L</t>
  </si>
  <si>
    <t>Desentupidor de pia</t>
  </si>
  <si>
    <t>Desentupidor de vaso sanitário</t>
  </si>
  <si>
    <t>Desodorizador de ar, biodegradavel 360 ml</t>
  </si>
  <si>
    <t xml:space="preserve">Desodorizador sanitário </t>
  </si>
  <si>
    <t>Detergente neutro liquido, biodegradável 5 L</t>
  </si>
  <si>
    <t xml:space="preserve">Disco para granito e piso porcelanato – limpeza </t>
  </si>
  <si>
    <t xml:space="preserve">Disco polidor para piso vinílico </t>
  </si>
  <si>
    <t>Dispenser papel toalha</t>
  </si>
  <si>
    <t>Dispenser para álcool em gel</t>
  </si>
  <si>
    <t>Dispenser para papel higiênico 300 m</t>
  </si>
  <si>
    <t>Dispenser para sabonete líquido</t>
  </si>
  <si>
    <t>Escova de nylon curva 450mm</t>
  </si>
  <si>
    <t>Escova para vaso sanitário</t>
  </si>
  <si>
    <t>Esfregão mop de algodão para limpeza de pisos com haste americana e cabo de alumínio 1,40 mt</t>
  </si>
  <si>
    <t>Espanador de Mesa</t>
  </si>
  <si>
    <t>Esponja de fibra com dupla face</t>
  </si>
  <si>
    <t>Esponja de lã de aço pc com 8 unidades</t>
  </si>
  <si>
    <t>Esponja limpgrill ou similar limpeza ultra-pesada</t>
  </si>
  <si>
    <t>Limpa vidros 500 ml</t>
  </si>
  <si>
    <t>Limpador multiuso (para limpeza de móveis e equipamentos em geral) biodegradável 500 ml</t>
  </si>
  <si>
    <t>Lixeira  Plástica telada 9 litros</t>
  </si>
  <si>
    <t>Lixeira para papel higiênico 100L</t>
  </si>
  <si>
    <t>Lixeira para papel higiênico 50L</t>
  </si>
  <si>
    <t>Lustra móveis 500ml</t>
  </si>
  <si>
    <t>Luvas de látex natural – par</t>
  </si>
  <si>
    <t>*Luvas de segurança para proteção das mãos contra agentes cortantes e perfurantes, contra umidade proveniente de operações com uso de água, bem como contra agentes</t>
  </si>
  <si>
    <t>*Luvas látex descartáveis para procedimento não cirúrgico, caixa com 100 unidades</t>
  </si>
  <si>
    <t>*Máscaras descartáveis</t>
  </si>
  <si>
    <t>Naftalina (pacote com 1 kg)</t>
  </si>
  <si>
    <t xml:space="preserve">*Óculos de Segurança </t>
  </si>
  <si>
    <t>Pá para Lixo cabo longo</t>
  </si>
  <si>
    <t>Pano de limpeza de piso (saco branco) 100% algodão</t>
  </si>
  <si>
    <t>Papel higiênico CELULOSE VIRGEM, folha dupla picotada, de alta qualidade e maciez, do tipo neve, scott, blanc ou similar, rolo com 300 m. Pac com 8 rolos</t>
  </si>
  <si>
    <t>Papel toalha branco, 100% CELULOSE VIRGEM, com duas dobras, de alta absorção e de alta qualidade, toaletes (pacotes com 1000 f)</t>
  </si>
  <si>
    <t>Polidor de metais</t>
  </si>
  <si>
    <t>Rastelo de Plástico para área externa</t>
  </si>
  <si>
    <t>*Recipiente para coleta, armazenamento e transporte de material perfuro e cortante potencialmente infectado. Impermeável. Polipropileno. 7 litros.</t>
  </si>
  <si>
    <t xml:space="preserve">Refil mop pó 40 cm </t>
  </si>
  <si>
    <t>Removedor de manchas, tipo Removic 750 ml ou similar</t>
  </si>
  <si>
    <t xml:space="preserve">Rodo com 2 borrachas - 40cm de largura, com cabo </t>
  </si>
  <si>
    <t>Rodo com 2 borrachas - 60cm de largura, com cabo</t>
  </si>
  <si>
    <t>Rodo especial para limpeza de vidros</t>
  </si>
  <si>
    <t>Sabão de coco – pct com 5 barras</t>
  </si>
  <si>
    <t>Sabão em barra, biodegradável pac com 1 kg</t>
  </si>
  <si>
    <t>Sabão em pó, biodegradável 500 g</t>
  </si>
  <si>
    <t>Sabonete líquido, com ph neutro concentrado, cada galão de 5 litros.</t>
  </si>
  <si>
    <t>Saco plástico para lixo com capacidade para cento e vinte litros, rolo com 100 unidades</t>
  </si>
  <si>
    <t>rolo</t>
  </si>
  <si>
    <t>Saco plástico para lixo com capacidade para cem litros, rolo com 100 unidades</t>
  </si>
  <si>
    <t>Saco plástico para lixo com capacidade para cinquenta litros, rolo com 100 unidades</t>
  </si>
  <si>
    <t>Saco plástico para lixo com capacidade para trinta litros, rolo com 100 unidades</t>
  </si>
  <si>
    <t>*Saco plastico para lixo infectante ultrarresistente branco capacidade de 100L rolo com 100 unidades</t>
  </si>
  <si>
    <t>*Saco plástico para lixo infectante ultrarresistente branco capacidade de 50L rolo com 100 unidades</t>
  </si>
  <si>
    <t>Saponáceo em pó, 300g</t>
  </si>
  <si>
    <t>*Touca de proteção pacote 100 unidades</t>
  </si>
  <si>
    <t xml:space="preserve">Vassoura de pelo, 40cm de largura, com cabo </t>
  </si>
  <si>
    <t xml:space="preserve">Vassoura de pelo 60cm de largura, com cabo </t>
  </si>
  <si>
    <t xml:space="preserve">Vassoura de piaçava, 40cm, com cabo </t>
  </si>
  <si>
    <t>Vassoura plástica de nylon para lixo com cabo – área externa</t>
  </si>
  <si>
    <t>Vassoura tipo escovão com cabo</t>
  </si>
  <si>
    <t>Vassoura, sisal, madeira, limpeza teto, 300 cm</t>
  </si>
  <si>
    <t>TOTAL ANUAL</t>
  </si>
  <si>
    <t>TOTAL MENSAL</t>
  </si>
  <si>
    <t>TOTAL MENSAL POR EMPREGADO</t>
  </si>
  <si>
    <t>*Materiais e EPI's para uso em laboratórios e áreas de saúde.</t>
  </si>
  <si>
    <t>ANEXO II</t>
  </si>
  <si>
    <t>ADAP</t>
  </si>
  <si>
    <t>PCU</t>
  </si>
  <si>
    <t>UFAM (VALORES DE PRODUTIVIDADE CONFORME TERMO DE REFERÊNCIA)</t>
  </si>
  <si>
    <t>CAMPUS</t>
  </si>
  <si>
    <t>UNIDADES DISPERSAS</t>
  </si>
  <si>
    <t>CENTRO ADMINISTRATIVO</t>
  </si>
  <si>
    <t>ÁREA INTERNA</t>
  </si>
  <si>
    <t>Pisos frios</t>
  </si>
  <si>
    <t>Pisos Frios</t>
  </si>
  <si>
    <t>MÃO DE OBRA</t>
  </si>
  <si>
    <r>
      <t>(1) PRODUTIVIDADE (1/M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</si>
  <si>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t>(2) PREÇO HOMEM-MÊS (R$)</t>
  </si>
  <si>
    <r>
      <t>(1 X 2) SUBTOTAL (R$/M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</si>
  <si>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t>METRAGEM</t>
  </si>
  <si>
    <t>1 / (30 x 600)</t>
  </si>
  <si>
    <t>800 M²</t>
  </si>
  <si>
    <t>Servente</t>
  </si>
  <si>
    <t>(1 / 600)</t>
  </si>
  <si>
    <t>(1 / 800)</t>
  </si>
  <si>
    <t>SUBTOTAL</t>
  </si>
  <si>
    <t>Pisos Acarpetados</t>
  </si>
  <si>
    <t>Laboratórios</t>
  </si>
  <si>
    <t>1 (30 x 600)</t>
  </si>
  <si>
    <t>360 M²</t>
  </si>
  <si>
    <t>1 (30 x 330)</t>
  </si>
  <si>
    <t>(1 / 360)</t>
  </si>
  <si>
    <t>(1 / 330)</t>
  </si>
  <si>
    <t>Laboratórios - Insalubridade 40%</t>
  </si>
  <si>
    <t>Almoxarifado e Galpões</t>
  </si>
  <si>
    <t>1.500 M²</t>
  </si>
  <si>
    <t>1 / (30 x 1350)</t>
  </si>
  <si>
    <t>(1 / 1500)</t>
  </si>
  <si>
    <t>(1 / 1350)</t>
  </si>
  <si>
    <t>Oficinas</t>
  </si>
  <si>
    <t>1.200 M²</t>
  </si>
  <si>
    <t>1 / (30 x 800)</t>
  </si>
  <si>
    <t>(1 / 1200)</t>
  </si>
  <si>
    <t>Áreas livres (Hall ou Salão)</t>
  </si>
  <si>
    <t>1.000 M²</t>
  </si>
  <si>
    <t>1 / (30 x 400)</t>
  </si>
  <si>
    <t>(1 / 1000)</t>
  </si>
  <si>
    <t>(1 / 400)</t>
  </si>
  <si>
    <t>Banheiros</t>
  </si>
  <si>
    <t>200 M²</t>
  </si>
  <si>
    <t>(1 / 200)</t>
  </si>
  <si>
    <t>Banheiros - Insalubridade 40%</t>
  </si>
  <si>
    <t>ÁREA EXTERNA</t>
  </si>
  <si>
    <t>Pisos adjacentes (calçadas)</t>
  </si>
  <si>
    <t>1 / (30 x 1200)</t>
  </si>
  <si>
    <t>1.800 M²</t>
  </si>
  <si>
    <t>(1 / 1800)</t>
  </si>
  <si>
    <t>Varrição de passeios e arruamentos</t>
  </si>
  <si>
    <t>1  / (30 x 1200)</t>
  </si>
  <si>
    <t>6.000 M²</t>
  </si>
  <si>
    <t>(1 / 6000)</t>
  </si>
  <si>
    <t>Pátios e áreas verdes baixa frequencia</t>
  </si>
  <si>
    <t>Face externa com situação de risco</t>
  </si>
  <si>
    <t>(2) FREQUÊNCIA MÊS (HORAS)</t>
  </si>
  <si>
    <t>(3) JORNADA DE TRABALHO MÊS (HORAS)</t>
  </si>
  <si>
    <t>(4) (1X2X3) KI</t>
  </si>
  <si>
    <t>(5) PREÇO HOMEM-MÊS (R$)</t>
  </si>
  <si>
    <r>
      <t>(4 X 5) SUBTOTAL (R$/M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</si>
  <si>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t>1 / (30 x 220)</t>
  </si>
  <si>
    <t>1/191,40</t>
  </si>
  <si>
    <t>130 M²</t>
  </si>
  <si>
    <t>1 / (4 x 130)</t>
  </si>
  <si>
    <t>1/1132,60</t>
  </si>
  <si>
    <t>1 / (30 x 110)</t>
  </si>
  <si>
    <t>(1 / 220)</t>
  </si>
  <si>
    <t>(1 / 130)</t>
  </si>
  <si>
    <t>(1 / 110)</t>
  </si>
  <si>
    <t>Face externa sem situação de risco</t>
  </si>
  <si>
    <t>300 M²</t>
  </si>
  <si>
    <t>1 / (30 x 300)</t>
  </si>
  <si>
    <t>1/188,76</t>
  </si>
  <si>
    <t>(1 / 300)</t>
  </si>
  <si>
    <t>Face interna</t>
  </si>
  <si>
    <t>0/191,40</t>
  </si>
  <si>
    <t>Área de fachada envideaçada</t>
  </si>
  <si>
    <t>Área de fachada envidraçada</t>
  </si>
  <si>
    <t>1/1.148,4</t>
  </si>
  <si>
    <t>TIPO DE ÁREA</t>
  </si>
  <si>
    <r>
      <t>(1) PREÇO MENSAL UNITÁRIO (R$/m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)</t>
    </r>
  </si>
  <si>
    <t>(2) ÁREA (m2)</t>
  </si>
  <si>
    <t>(1 X 2) SUBTOTAL (R$)</t>
  </si>
  <si>
    <t>N° ASG's (Área/ Produt. Mínima)</t>
  </si>
  <si>
    <t>N° Encarregados</t>
  </si>
  <si>
    <t>Almoxarifado e galpões</t>
  </si>
  <si>
    <t>Oficina</t>
  </si>
  <si>
    <t>Áreas livres (hall ou salão)</t>
  </si>
  <si>
    <t>Varrição de Passeios e arruamentos</t>
  </si>
  <si>
    <t>Pátios e áreas verdes baixa frequência</t>
  </si>
  <si>
    <t>Pátios e áreas verdes média frequência</t>
  </si>
  <si>
    <t>-</t>
  </si>
  <si>
    <t>Pátios e áreas verdes alta frequência</t>
  </si>
  <si>
    <t>ESQUADRIA</t>
  </si>
  <si>
    <t>Face Externa com situação de risco</t>
  </si>
  <si>
    <t>Face Externa sem situação de risco</t>
  </si>
  <si>
    <t>Face Interna</t>
  </si>
  <si>
    <t xml:space="preserve">TOTAL ANUAL </t>
  </si>
  <si>
    <t xml:space="preserve">        Prefeitura do Campus Universitário</t>
  </si>
  <si>
    <t>Equipamentos – Unidades Dispersas da Fundação Universidade do Amazonas</t>
  </si>
  <si>
    <t>DESCRIÇÃO EQUIPAMENTOS</t>
  </si>
  <si>
    <t>UND</t>
  </si>
  <si>
    <t>QTDE</t>
  </si>
  <si>
    <t>Preço Médio  Unitário</t>
  </si>
  <si>
    <t>Vida Útil (Mensal)</t>
  </si>
  <si>
    <t xml:space="preserve">Valor Total </t>
  </si>
  <si>
    <t>(R$)</t>
  </si>
  <si>
    <t>Aspirador de pó e água industrial, potência mínima 1600w</t>
  </si>
  <si>
    <t>Balde espremedor, tipo doblo ou similar, polipropileno, aço, com rodas, capacidade de 24L</t>
  </si>
  <si>
    <t>Coletor lixo, polipropileno, anti-raios ultravioleta, resistente a impacto, com tampa, 240 litros</t>
  </si>
  <si>
    <t>Enceradeira industrial p/ lavagem de piso, c/ escovas de 350 mm.</t>
  </si>
  <si>
    <t>Escada doméstica, alumínio, número degraus 5, revestimento degraus tapete antiderrapante, tipo pintura epóxi, tipo degraus articuláveis</t>
  </si>
  <si>
    <t>Escada doméstica, alumínio, número degraus 7, revestimento degraus tapete antiderrapante, tipo pintura epóxi, tipo degraus articuláveis</t>
  </si>
  <si>
    <t>Extensão elétrica 20 m</t>
  </si>
  <si>
    <r>
      <t>Lavadora de alta pressão, com potência mínima de 1600 libras, com mangueira e pistola</t>
    </r>
    <r>
      <rPr>
        <sz val="12"/>
        <color theme="1"/>
        <rFont val="Times New Roman"/>
        <family val="1"/>
      </rPr>
      <t xml:space="preserve"> </t>
    </r>
  </si>
  <si>
    <t>Mangueira para jardim, superflexível, ¾”, peça com  50m, marca Tramontina ou similar</t>
  </si>
  <si>
    <t>Placa de sinalização cuidado piso molhado, dobrável, frente e verso</t>
  </si>
  <si>
    <t>TOTAL POR MÊS</t>
  </si>
  <si>
    <t>TOTAL POR EMPREGADO</t>
  </si>
  <si>
    <t>De acordo com o entendimento do TCU no Acórdão nº 1.186/2017 - Plenário, a Administração "deve estabelecer na minuta do contrato que a parcela mensal a título de aviso prévio trabalhado será no percentual máximo de 1,94% no primeiro ano, e, em caso de prorrogação do contrato, o percentual máximo dessa parcela será de 0,194% a cada ano de prorrogação, a ser incluído por ocasião da formulação do aditivo da prorrogação do contrato, conforme a Lei 12.506/2011" (Enunciado do Boletim de Jurisprudência nº 176/2017).</t>
  </si>
  <si>
    <t>7 dias em 30 rateado em 12 meses * estatística cheia</t>
  </si>
  <si>
    <t>1(AVI integral)/12 meses*5% (levantamento STF)</t>
  </si>
  <si>
    <t>BENEFÍCIO 3</t>
  </si>
  <si>
    <t>PLANO ODONTOLÓGICO</t>
  </si>
  <si>
    <t>BENEFÍCIO 4</t>
  </si>
  <si>
    <t>PROGRAMA DE QUALIFICAÇÃO PROFISSIONAL</t>
  </si>
  <si>
    <t>Plano Odonto</t>
  </si>
  <si>
    <t>Qualificação</t>
  </si>
  <si>
    <t>Flanela 30 x 40 cm</t>
  </si>
  <si>
    <t>Sapatilha hospitalar (pacote com 100)</t>
  </si>
  <si>
    <t>*Cloro - Hiproclorito de sódio, contendo 5% de cloro ativo, solução aquosa 1 L</t>
  </si>
  <si>
    <t>Desinfetante de uso geral, biodegradável 1 L</t>
  </si>
  <si>
    <t>Manaus, 02 de DEZEMBRO de 2024</t>
  </si>
  <si>
    <t>1 (28 x 800)</t>
  </si>
  <si>
    <t>1 (28 x 360)</t>
  </si>
  <si>
    <t>1 (28 x 1500)</t>
  </si>
  <si>
    <t>1 (28 x 1200)</t>
  </si>
  <si>
    <t>1 (28 x 1000)</t>
  </si>
  <si>
    <t>1 (28 x 200)</t>
  </si>
  <si>
    <t>1 / (28 x 1800)</t>
  </si>
  <si>
    <t>1 / (28 x 6000)</t>
  </si>
  <si>
    <t>Elton de Jesus Thomaz</t>
  </si>
  <si>
    <t>AM000578/2024</t>
  </si>
  <si>
    <t>23105.034436/2024-13</t>
  </si>
  <si>
    <t>Salário Mínimo Nacional</t>
  </si>
</sst>
</file>

<file path=xl/styles.xml><?xml version="1.0" encoding="utf-8"?>
<styleSheet xmlns="http://schemas.openxmlformats.org/spreadsheetml/2006/main">
  <numFmts count="1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  <numFmt numFmtId="165" formatCode="_-[$R$-416]\ * #,##0.00_-;\-[$R$-416]\ * #,##0.00_-;_-[$R$-416]\ * &quot;-&quot;??_-;_-@_-"/>
    <numFmt numFmtId="166" formatCode="_-* #,##0.0000000_-;\-* #,##0.0000000_-;_-* &quot;-&quot;??_-;_-@_-"/>
    <numFmt numFmtId="167" formatCode="_(&quot;$&quot;* #,##0.00_);_(&quot;$&quot;* \(#,##0.00\);_(&quot;$&quot;* &quot;-&quot;??_);_(@_)"/>
    <numFmt numFmtId="168" formatCode="_-* #,##0.0000000_-;\-* #,##0.0000000_-;_-* &quot;-&quot;???????_-;_-@_-"/>
    <numFmt numFmtId="169" formatCode="#,##0.00;[Red]#,##0.00"/>
    <numFmt numFmtId="170" formatCode="#,##0.0000_ ;\-#,##0.0000\ "/>
    <numFmt numFmtId="171" formatCode="_(* #,##0.00_);_(* \(#,##0.00\);_(* \-??_);_(@_)"/>
    <numFmt numFmtId="172" formatCode="dd/mm/yy"/>
    <numFmt numFmtId="173" formatCode="[$R$-416]\ #,##0.00;[Red]\-[$R$-416]\ #,##0.00"/>
    <numFmt numFmtId="174" formatCode="0.000"/>
    <numFmt numFmtId="175" formatCode="0.000%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Times New Roman"/>
      <family val="1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70C0"/>
      <name val="Times New Roman"/>
      <family val="1"/>
    </font>
    <font>
      <sz val="12"/>
      <color rgb="FF0070C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B0F0"/>
      <name val="Calibri"/>
      <family val="2"/>
      <scheme val="minor"/>
    </font>
    <font>
      <b/>
      <sz val="12"/>
      <color rgb="FF00B0F0"/>
      <name val="Times New Roman"/>
      <family val="1"/>
    </font>
    <font>
      <sz val="12"/>
      <color rgb="FF00B0F0"/>
      <name val="Times New Roman"/>
      <family val="1"/>
    </font>
    <font>
      <b/>
      <sz val="14"/>
      <name val="Times New Roman"/>
      <family val="1"/>
    </font>
    <font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8" fillId="0" borderId="0"/>
    <xf numFmtId="0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8" fillId="0" borderId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9">
    <xf numFmtId="0" fontId="0" fillId="0" borderId="0" xfId="0"/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4" fontId="4" fillId="5" borderId="14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1" xfId="0" applyBorder="1"/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68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169" fontId="10" fillId="0" borderId="28" xfId="0" applyNumberFormat="1" applyFont="1" applyBorder="1" applyAlignment="1">
      <alignment horizontal="center" vertical="center"/>
    </xf>
    <xf numFmtId="9" fontId="10" fillId="0" borderId="28" xfId="5" applyFont="1" applyBorder="1" applyAlignment="1">
      <alignment horizontal="center" vertical="center"/>
    </xf>
    <xf numFmtId="169" fontId="9" fillId="0" borderId="29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0" fontId="10" fillId="0" borderId="28" xfId="5" applyNumberFormat="1" applyFont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/>
    </xf>
    <xf numFmtId="0" fontId="9" fillId="6" borderId="36" xfId="0" applyFont="1" applyFill="1" applyBorder="1" applyAlignment="1">
      <alignment horizontal="center" vertical="center"/>
    </xf>
    <xf numFmtId="10" fontId="10" fillId="0" borderId="28" xfId="0" applyNumberFormat="1" applyFont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 wrapText="1"/>
    </xf>
    <xf numFmtId="10" fontId="10" fillId="0" borderId="29" xfId="5" applyNumberFormat="1" applyFont="1" applyBorder="1" applyAlignment="1">
      <alignment horizontal="center" vertical="center"/>
    </xf>
    <xf numFmtId="10" fontId="10" fillId="0" borderId="33" xfId="5" applyNumberFormat="1" applyFont="1" applyBorder="1" applyAlignment="1">
      <alignment horizontal="center" vertical="center"/>
    </xf>
    <xf numFmtId="10" fontId="10" fillId="0" borderId="20" xfId="5" applyNumberFormat="1" applyFont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10" fontId="9" fillId="6" borderId="23" xfId="5" applyNumberFormat="1" applyFont="1" applyFill="1" applyBorder="1" applyAlignment="1">
      <alignment horizontal="center" vertical="center"/>
    </xf>
    <xf numFmtId="1" fontId="10" fillId="0" borderId="28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10" fontId="10" fillId="0" borderId="18" xfId="5" applyNumberFormat="1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10" fontId="10" fillId="0" borderId="33" xfId="5" applyNumberFormat="1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10" fontId="10" fillId="0" borderId="40" xfId="5" applyNumberFormat="1" applyFont="1" applyFill="1" applyBorder="1" applyAlignment="1">
      <alignment horizontal="center" vertical="center"/>
    </xf>
    <xf numFmtId="10" fontId="9" fillId="6" borderId="1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6" borderId="13" xfId="0" applyFont="1" applyFill="1" applyBorder="1" applyAlignment="1">
      <alignment horizontal="center" vertical="center" wrapText="1"/>
    </xf>
    <xf numFmtId="40" fontId="10" fillId="0" borderId="28" xfId="0" applyNumberFormat="1" applyFont="1" applyBorder="1" applyAlignment="1">
      <alignment horizontal="center" vertical="center"/>
    </xf>
    <xf numFmtId="40" fontId="9" fillId="0" borderId="29" xfId="0" applyNumberFormat="1" applyFont="1" applyBorder="1" applyAlignment="1">
      <alignment horizontal="center" vertical="center"/>
    </xf>
    <xf numFmtId="0" fontId="9" fillId="6" borderId="44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164" fontId="10" fillId="0" borderId="28" xfId="0" applyNumberFormat="1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170" fontId="9" fillId="0" borderId="29" xfId="1" applyNumberFormat="1" applyFont="1" applyBorder="1" applyAlignment="1">
      <alignment horizontal="center" vertical="center" wrapText="1"/>
    </xf>
    <xf numFmtId="10" fontId="10" fillId="0" borderId="27" xfId="5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0" fontId="10" fillId="0" borderId="30" xfId="5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164" fontId="10" fillId="0" borderId="32" xfId="0" applyNumberFormat="1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10" fontId="10" fillId="0" borderId="19" xfId="5" applyNumberFormat="1" applyFont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164" fontId="10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7" borderId="24" xfId="0" applyFont="1" applyFill="1" applyBorder="1" applyAlignment="1">
      <alignment horizontal="center" vertical="center"/>
    </xf>
    <xf numFmtId="171" fontId="11" fillId="7" borderId="25" xfId="6" applyFont="1" applyFill="1" applyBorder="1" applyAlignment="1" applyProtection="1">
      <alignment horizontal="center" vertical="center"/>
    </xf>
    <xf numFmtId="171" fontId="11" fillId="7" borderId="26" xfId="0" applyNumberFormat="1" applyFont="1" applyFill="1" applyBorder="1" applyAlignment="1">
      <alignment horizontal="center" vertical="center"/>
    </xf>
    <xf numFmtId="3" fontId="10" fillId="0" borderId="28" xfId="6" applyNumberFormat="1" applyFont="1" applyFill="1" applyBorder="1" applyAlignment="1" applyProtection="1">
      <alignment horizontal="center" vertical="center"/>
    </xf>
    <xf numFmtId="3" fontId="10" fillId="0" borderId="1" xfId="6" applyNumberFormat="1" applyFont="1" applyFill="1" applyBorder="1" applyAlignment="1" applyProtection="1">
      <alignment horizontal="center" vertical="center"/>
    </xf>
    <xf numFmtId="4" fontId="11" fillId="7" borderId="16" xfId="0" applyNumberFormat="1" applyFont="1" applyFill="1" applyBorder="1" applyAlignment="1">
      <alignment horizontal="center" vertical="center"/>
    </xf>
    <xf numFmtId="171" fontId="10" fillId="0" borderId="0" xfId="6" applyFont="1" applyFill="1" applyBorder="1" applyAlignment="1" applyProtection="1">
      <alignment horizontal="center" vertical="center"/>
    </xf>
    <xf numFmtId="171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7" borderId="25" xfId="0" applyFont="1" applyFill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/>
    </xf>
    <xf numFmtId="4" fontId="10" fillId="0" borderId="28" xfId="6" applyNumberFormat="1" applyFont="1" applyFill="1" applyBorder="1" applyAlignment="1" applyProtection="1">
      <alignment horizontal="center" vertical="center"/>
    </xf>
    <xf numFmtId="4" fontId="11" fillId="0" borderId="29" xfId="6" applyNumberFormat="1" applyFont="1" applyFill="1" applyBorder="1" applyAlignment="1" applyProtection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171" fontId="11" fillId="7" borderId="16" xfId="0" applyNumberFormat="1" applyFont="1" applyFill="1" applyBorder="1" applyAlignment="1">
      <alignment horizontal="center" vertical="center" wrapText="1"/>
    </xf>
    <xf numFmtId="4" fontId="11" fillId="0" borderId="29" xfId="0" applyNumberFormat="1" applyFont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4" fontId="10" fillId="0" borderId="5" xfId="7" applyNumberFormat="1" applyFont="1" applyFill="1" applyBorder="1" applyAlignment="1" applyProtection="1">
      <alignment horizontal="center" vertical="center"/>
    </xf>
    <xf numFmtId="4" fontId="11" fillId="0" borderId="18" xfId="7" applyNumberFormat="1" applyFont="1" applyFill="1" applyBorder="1" applyAlignment="1" applyProtection="1">
      <alignment horizontal="center" vertical="center"/>
    </xf>
    <xf numFmtId="0" fontId="10" fillId="0" borderId="55" xfId="0" applyFont="1" applyBorder="1" applyAlignment="1">
      <alignment horizontal="center" vertical="center" wrapText="1"/>
    </xf>
    <xf numFmtId="169" fontId="10" fillId="0" borderId="27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 wrapText="1"/>
    </xf>
    <xf numFmtId="169" fontId="10" fillId="0" borderId="30" xfId="0" applyNumberFormat="1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 wrapText="1"/>
    </xf>
    <xf numFmtId="169" fontId="10" fillId="0" borderId="31" xfId="0" applyNumberFormat="1" applyFont="1" applyBorder="1" applyAlignment="1">
      <alignment horizontal="center" vertical="center"/>
    </xf>
    <xf numFmtId="0" fontId="0" fillId="0" borderId="58" xfId="0" applyBorder="1"/>
    <xf numFmtId="0" fontId="0" fillId="0" borderId="5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8" borderId="0" xfId="0" applyFill="1"/>
    <xf numFmtId="0" fontId="0" fillId="8" borderId="1" xfId="0" applyFill="1" applyBorder="1" applyAlignment="1">
      <alignment wrapText="1"/>
    </xf>
    <xf numFmtId="0" fontId="0" fillId="8" borderId="1" xfId="0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0" fillId="8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wrapText="1"/>
    </xf>
    <xf numFmtId="0" fontId="16" fillId="0" borderId="17" xfId="0" applyFont="1" applyBorder="1" applyAlignment="1">
      <alignment horizontal="center" vertical="center" wrapText="1"/>
    </xf>
    <xf numFmtId="170" fontId="9" fillId="0" borderId="26" xfId="1" applyNumberFormat="1" applyFont="1" applyBorder="1" applyAlignment="1">
      <alignment horizontal="center" vertical="center" wrapText="1"/>
    </xf>
    <xf numFmtId="170" fontId="9" fillId="9" borderId="44" xfId="0" applyNumberFormat="1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horizontal="center" vertical="center" wrapText="1"/>
    </xf>
    <xf numFmtId="169" fontId="10" fillId="9" borderId="44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66" fontId="4" fillId="0" borderId="4" xfId="1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wrapText="1"/>
    </xf>
    <xf numFmtId="0" fontId="10" fillId="0" borderId="43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165" fontId="5" fillId="4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8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174" fontId="4" fillId="0" borderId="1" xfId="0" applyNumberFormat="1" applyFont="1" applyBorder="1" applyAlignment="1">
      <alignment horizontal="center" vertical="center"/>
    </xf>
    <xf numFmtId="174" fontId="4" fillId="0" borderId="1" xfId="0" applyNumberFormat="1" applyFont="1" applyBorder="1" applyAlignment="1">
      <alignment vertical="center"/>
    </xf>
    <xf numFmtId="174" fontId="5" fillId="4" borderId="1" xfId="0" applyNumberFormat="1" applyFont="1" applyFill="1" applyBorder="1" applyAlignment="1">
      <alignment vertical="center"/>
    </xf>
    <xf numFmtId="174" fontId="5" fillId="4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1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74" fontId="4" fillId="0" borderId="0" xfId="0" applyNumberFormat="1" applyFont="1" applyAlignment="1">
      <alignment horizontal="center" vertical="center"/>
    </xf>
    <xf numFmtId="0" fontId="25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/>
    <xf numFmtId="0" fontId="21" fillId="0" borderId="0" xfId="0" applyFont="1" applyAlignment="1">
      <alignment horizontal="left" vertical="center"/>
    </xf>
    <xf numFmtId="0" fontId="26" fillId="0" borderId="0" xfId="0" applyFont="1"/>
    <xf numFmtId="0" fontId="2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169" fontId="29" fillId="0" borderId="18" xfId="0" applyNumberFormat="1" applyFont="1" applyBorder="1" applyAlignment="1">
      <alignment horizontal="center" vertical="center"/>
    </xf>
    <xf numFmtId="169" fontId="30" fillId="0" borderId="28" xfId="0" applyNumberFormat="1" applyFont="1" applyBorder="1" applyAlignment="1">
      <alignment horizontal="center" vertical="center"/>
    </xf>
    <xf numFmtId="169" fontId="29" fillId="0" borderId="29" xfId="0" applyNumberFormat="1" applyFont="1" applyBorder="1" applyAlignment="1">
      <alignment horizontal="center" vertical="center"/>
    </xf>
    <xf numFmtId="10" fontId="30" fillId="0" borderId="29" xfId="5" applyNumberFormat="1" applyFont="1" applyBorder="1" applyAlignment="1">
      <alignment horizontal="center" vertical="center"/>
    </xf>
    <xf numFmtId="10" fontId="30" fillId="0" borderId="33" xfId="5" applyNumberFormat="1" applyFont="1" applyBorder="1" applyAlignment="1">
      <alignment horizontal="center" vertical="center"/>
    </xf>
    <xf numFmtId="10" fontId="30" fillId="0" borderId="20" xfId="5" applyNumberFormat="1" applyFont="1" applyBorder="1" applyAlignment="1">
      <alignment horizontal="center" vertical="center"/>
    </xf>
    <xf numFmtId="9" fontId="30" fillId="0" borderId="28" xfId="5" applyFont="1" applyBorder="1" applyAlignment="1">
      <alignment horizontal="center" vertical="center"/>
    </xf>
    <xf numFmtId="175" fontId="30" fillId="0" borderId="33" xfId="5" applyNumberFormat="1" applyFont="1" applyFill="1" applyBorder="1" applyAlignment="1">
      <alignment horizontal="center" vertical="center"/>
    </xf>
    <xf numFmtId="175" fontId="30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9" fontId="34" fillId="0" borderId="18" xfId="0" applyNumberFormat="1" applyFont="1" applyBorder="1" applyAlignment="1">
      <alignment horizontal="center" vertical="center"/>
    </xf>
    <xf numFmtId="169" fontId="35" fillId="0" borderId="28" xfId="0" applyNumberFormat="1" applyFont="1" applyBorder="1" applyAlignment="1">
      <alignment horizontal="center" vertical="center"/>
    </xf>
    <xf numFmtId="175" fontId="35" fillId="0" borderId="33" xfId="5" applyNumberFormat="1" applyFont="1" applyFill="1" applyBorder="1" applyAlignment="1">
      <alignment horizontal="center" vertical="center"/>
    </xf>
    <xf numFmtId="175" fontId="10" fillId="0" borderId="28" xfId="0" applyNumberFormat="1" applyFont="1" applyBorder="1" applyAlignment="1">
      <alignment horizontal="center" vertical="center"/>
    </xf>
    <xf numFmtId="175" fontId="35" fillId="0" borderId="28" xfId="0" applyNumberFormat="1" applyFont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0" fontId="35" fillId="0" borderId="29" xfId="5" applyNumberFormat="1" applyFont="1" applyBorder="1" applyAlignment="1">
      <alignment horizontal="center" vertical="center"/>
    </xf>
    <xf numFmtId="10" fontId="35" fillId="0" borderId="33" xfId="5" applyNumberFormat="1" applyFont="1" applyBorder="1" applyAlignment="1">
      <alignment horizontal="center" vertical="center"/>
    </xf>
    <xf numFmtId="10" fontId="35" fillId="0" borderId="20" xfId="5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169" fontId="35" fillId="0" borderId="0" xfId="0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169" fontId="30" fillId="0" borderId="0" xfId="0" applyNumberFormat="1" applyFont="1" applyBorder="1" applyAlignment="1">
      <alignment horizontal="center" vertical="center"/>
    </xf>
    <xf numFmtId="0" fontId="9" fillId="6" borderId="60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169" fontId="10" fillId="0" borderId="45" xfId="0" applyNumberFormat="1" applyFont="1" applyBorder="1" applyAlignment="1">
      <alignment horizontal="center" vertical="center"/>
    </xf>
    <xf numFmtId="0" fontId="4" fillId="0" borderId="0" xfId="0" applyFont="1"/>
    <xf numFmtId="0" fontId="5" fillId="11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justify" wrapText="1"/>
    </xf>
    <xf numFmtId="44" fontId="4" fillId="0" borderId="1" xfId="8" applyFont="1" applyBorder="1" applyAlignment="1">
      <alignment horizontal="center" vertical="top" wrapText="1"/>
    </xf>
    <xf numFmtId="8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horizontal="center" wrapText="1"/>
    </xf>
    <xf numFmtId="44" fontId="4" fillId="0" borderId="1" xfId="8" applyFont="1" applyBorder="1" applyAlignment="1">
      <alignment horizontal="center" wrapText="1"/>
    </xf>
    <xf numFmtId="44" fontId="4" fillId="0" borderId="1" xfId="8" applyFont="1" applyBorder="1" applyAlignment="1">
      <alignment horizontal="justify" wrapText="1"/>
    </xf>
    <xf numFmtId="8" fontId="4" fillId="0" borderId="0" xfId="0" applyNumberFormat="1" applyFont="1"/>
    <xf numFmtId="0" fontId="5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wrapText="1"/>
    </xf>
    <xf numFmtId="44" fontId="5" fillId="10" borderId="1" xfId="0" applyNumberFormat="1" applyFont="1" applyFill="1" applyBorder="1" applyAlignment="1">
      <alignment wrapText="1"/>
    </xf>
    <xf numFmtId="8" fontId="5" fillId="12" borderId="1" xfId="0" applyNumberFormat="1" applyFont="1" applyFill="1" applyBorder="1" applyAlignment="1">
      <alignment horizontal="right" vertical="center" wrapText="1"/>
    </xf>
    <xf numFmtId="9" fontId="5" fillId="10" borderId="1" xfId="5" applyFont="1" applyFill="1" applyBorder="1" applyAlignment="1">
      <alignment wrapText="1"/>
    </xf>
    <xf numFmtId="0" fontId="37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44" fontId="4" fillId="0" borderId="1" xfId="8" applyFont="1" applyFill="1" applyBorder="1" applyAlignment="1">
      <alignment horizontal="center" vertical="top" wrapText="1"/>
    </xf>
    <xf numFmtId="8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Font="1" applyFill="1" applyBorder="1" applyAlignment="1">
      <alignment horizontal="justify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wrapText="1"/>
    </xf>
    <xf numFmtId="44" fontId="4" fillId="0" borderId="1" xfId="8" applyFont="1" applyFill="1" applyBorder="1" applyAlignment="1">
      <alignment horizontal="center" wrapText="1"/>
    </xf>
    <xf numFmtId="44" fontId="10" fillId="0" borderId="0" xfId="8" applyFont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8" fillId="8" borderId="1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 wrapText="1"/>
    </xf>
    <xf numFmtId="0" fontId="9" fillId="6" borderId="38" xfId="0" applyFont="1" applyFill="1" applyBorder="1" applyAlignment="1">
      <alignment horizontal="center" vertical="center" wrapText="1"/>
    </xf>
    <xf numFmtId="0" fontId="9" fillId="6" borderId="39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left" vertical="center"/>
    </xf>
    <xf numFmtId="14" fontId="0" fillId="8" borderId="1" xfId="0" applyNumberFormat="1" applyFill="1" applyBorder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8" fillId="8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9" borderId="13" xfId="0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172" fontId="0" fillId="0" borderId="1" xfId="0" applyNumberFormat="1" applyBorder="1" applyAlignment="1">
      <alignment horizontal="center" vertical="center"/>
    </xf>
    <xf numFmtId="0" fontId="14" fillId="8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/>
    </xf>
    <xf numFmtId="0" fontId="0" fillId="8" borderId="4" xfId="0" applyFill="1" applyBorder="1" applyAlignment="1">
      <alignment horizontal="center" vertical="center" wrapText="1"/>
    </xf>
    <xf numFmtId="0" fontId="0" fillId="8" borderId="35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9" fillId="6" borderId="59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11" fillId="7" borderId="37" xfId="0" applyFont="1" applyFill="1" applyBorder="1" applyAlignment="1">
      <alignment horizontal="center" vertical="center"/>
    </xf>
    <xf numFmtId="0" fontId="11" fillId="7" borderId="38" xfId="0" applyFont="1" applyFill="1" applyBorder="1" applyAlignment="1">
      <alignment horizontal="center" vertical="center"/>
    </xf>
    <xf numFmtId="0" fontId="11" fillId="7" borderId="39" xfId="0" applyFont="1" applyFill="1" applyBorder="1" applyAlignment="1">
      <alignment horizontal="center" vertical="center"/>
    </xf>
    <xf numFmtId="0" fontId="11" fillId="7" borderId="52" xfId="0" applyFont="1" applyFill="1" applyBorder="1" applyAlignment="1">
      <alignment horizontal="center" vertical="center"/>
    </xf>
    <xf numFmtId="0" fontId="11" fillId="7" borderId="53" xfId="0" applyFont="1" applyFill="1" applyBorder="1" applyAlignment="1">
      <alignment horizontal="center" vertical="center"/>
    </xf>
    <xf numFmtId="0" fontId="11" fillId="7" borderId="54" xfId="0" applyFont="1" applyFill="1" applyBorder="1" applyAlignment="1">
      <alignment horizontal="center" vertical="center"/>
    </xf>
    <xf numFmtId="0" fontId="11" fillId="7" borderId="51" xfId="0" applyFont="1" applyFill="1" applyBorder="1" applyAlignment="1">
      <alignment horizontal="center" vertical="center"/>
    </xf>
    <xf numFmtId="0" fontId="11" fillId="7" borderId="48" xfId="0" applyFont="1" applyFill="1" applyBorder="1" applyAlignment="1">
      <alignment horizontal="center" vertical="center"/>
    </xf>
    <xf numFmtId="173" fontId="28" fillId="8" borderId="1" xfId="0" applyNumberFormat="1" applyFont="1" applyFill="1" applyBorder="1" applyAlignment="1">
      <alignment horizontal="center" vertical="center" wrapText="1"/>
    </xf>
    <xf numFmtId="0" fontId="11" fillId="7" borderId="49" xfId="0" applyFont="1" applyFill="1" applyBorder="1" applyAlignment="1">
      <alignment horizontal="center" vertical="center"/>
    </xf>
    <xf numFmtId="0" fontId="11" fillId="7" borderId="47" xfId="0" applyFont="1" applyFill="1" applyBorder="1" applyAlignment="1">
      <alignment horizontal="center" vertical="center"/>
    </xf>
    <xf numFmtId="0" fontId="11" fillId="7" borderId="50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3" fillId="8" borderId="1" xfId="0" applyFont="1" applyFill="1" applyBorder="1" applyAlignment="1">
      <alignment horizontal="center" vertical="center"/>
    </xf>
    <xf numFmtId="173" fontId="33" fillId="8" borderId="1" xfId="0" applyNumberFormat="1" applyFont="1" applyFill="1" applyBorder="1" applyAlignment="1">
      <alignment horizontal="center" vertical="center" wrapText="1"/>
    </xf>
    <xf numFmtId="14" fontId="33" fillId="8" borderId="1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4" fontId="4" fillId="0" borderId="1" xfId="0" applyNumberFormat="1" applyFont="1" applyBorder="1" applyAlignment="1">
      <alignment vertical="center"/>
    </xf>
    <xf numFmtId="174" fontId="5" fillId="4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/>
    <xf numFmtId="0" fontId="4" fillId="0" borderId="3" xfId="0" applyFont="1" applyBorder="1" applyAlignment="1"/>
    <xf numFmtId="0" fontId="5" fillId="3" borderId="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171" fontId="30" fillId="0" borderId="28" xfId="6" applyFont="1" applyFill="1" applyBorder="1" applyAlignment="1" applyProtection="1">
      <alignment horizontal="center" vertical="center"/>
    </xf>
    <xf numFmtId="4" fontId="30" fillId="0" borderId="29" xfId="0" applyNumberFormat="1" applyFont="1" applyBorder="1" applyAlignment="1">
      <alignment horizontal="center" vertical="center"/>
    </xf>
    <xf numFmtId="171" fontId="30" fillId="0" borderId="1" xfId="6" applyFont="1" applyFill="1" applyBorder="1" applyAlignment="1" applyProtection="1">
      <alignment horizontal="center" vertical="center"/>
    </xf>
  </cellXfs>
  <cellStyles count="9">
    <cellStyle name="Moeda" xfId="8" builtinId="4"/>
    <cellStyle name="Moeda 2" xfId="2"/>
    <cellStyle name="Moeda 3" xfId="4"/>
    <cellStyle name="Normal" xfId="0" builtinId="0"/>
    <cellStyle name="Normal 2" xfId="3"/>
    <cellStyle name="Porcentagem" xfId="5" builtinId="5"/>
    <cellStyle name="Separador de milhares" xfId="1" builtinId="3"/>
    <cellStyle name="Vírgula 2" xfId="6"/>
    <cellStyle name="Vírgula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diego\OneDrive\&#193;rea%20de%20Trabalho\Termos%20de%20Refer&#234;ncia%20DLMA\Limpeza%20e%20Conserva&#231;&#227;o%20In%20n&#186;%2005_2017\Modelo%20IN%2002_2008\Planilha%20Forma&#231;&#227;o%20Pre&#231;os%20TR%20Limpeza\GRUPOS%20A%20e%20B\Grupo%20A%20-%20&#193;reas%20Comuns%20%20-%20Planilha%20Homem%20M&#234;s%20e%20&#193;rea.xlsx?3B29EC93" TargetMode="External"/><Relationship Id="rId1" Type="http://schemas.openxmlformats.org/officeDocument/2006/relationships/externalLinkPath" Target="file:///\\3B29EC93\Grupo%20A%20-%20&#193;reas%20Comuns%20%20-%20Planilha%20Homem%20M&#234;s%20e%20&#193;re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UM_ASG"/>
      <sheetName val="COMUM_Encarregado"/>
      <sheetName val="Cálculo Área m²"/>
      <sheetName val="Uniformes"/>
      <sheetName val="Materiais"/>
      <sheetName val="Equipamentos"/>
    </sheetNames>
    <sheetDataSet>
      <sheetData sheetId="0"/>
      <sheetData sheetId="1"/>
      <sheetData sheetId="2">
        <row r="85">
          <cell r="F85">
            <v>0</v>
          </cell>
        </row>
        <row r="100">
          <cell r="F100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6"/>
  <sheetViews>
    <sheetView view="pageBreakPreview" topLeftCell="A244" zoomScaleNormal="100" zoomScaleSheetLayoutView="100" workbookViewId="0">
      <selection activeCell="F255" sqref="F255"/>
    </sheetView>
  </sheetViews>
  <sheetFormatPr defaultRowHeight="15"/>
  <cols>
    <col min="1" max="1" width="31.28515625" customWidth="1"/>
    <col min="2" max="3" width="18.140625" bestFit="1" customWidth="1"/>
    <col min="4" max="4" width="15.42578125" bestFit="1" customWidth="1"/>
    <col min="5" max="5" width="18.140625" bestFit="1" customWidth="1"/>
    <col min="6" max="8" width="13.7109375" customWidth="1"/>
    <col min="9" max="9" width="13.28515625" customWidth="1"/>
  </cols>
  <sheetData>
    <row r="1" spans="1:9" ht="15.75">
      <c r="A1" s="266" t="s">
        <v>0</v>
      </c>
      <c r="B1" s="266"/>
      <c r="C1" s="266"/>
      <c r="D1" s="266"/>
      <c r="E1" s="266"/>
      <c r="F1" s="266"/>
      <c r="G1" s="266"/>
      <c r="H1" s="266"/>
      <c r="I1" s="266"/>
    </row>
    <row r="2" spans="1:9" ht="15.75">
      <c r="A2" s="96"/>
      <c r="B2" s="96"/>
      <c r="C2" s="96"/>
      <c r="D2" s="96"/>
      <c r="E2" s="96"/>
      <c r="F2" s="96"/>
      <c r="G2" s="201"/>
      <c r="H2" s="201"/>
      <c r="I2" s="96"/>
    </row>
    <row r="3" spans="1:9" ht="15.6" customHeight="1">
      <c r="A3" s="273" t="s">
        <v>1</v>
      </c>
      <c r="B3" s="274"/>
      <c r="C3" s="274"/>
      <c r="D3" s="274"/>
      <c r="E3" s="274"/>
      <c r="F3" s="274"/>
      <c r="G3" s="274"/>
      <c r="H3" s="274"/>
      <c r="I3" s="274"/>
    </row>
    <row r="4" spans="1:9" ht="15.6" customHeight="1">
      <c r="A4" s="272" t="s">
        <v>2</v>
      </c>
      <c r="B4" s="272"/>
      <c r="C4" s="272"/>
      <c r="D4" s="272"/>
      <c r="E4" s="272"/>
      <c r="F4" s="272"/>
      <c r="G4" s="272"/>
      <c r="H4" s="272"/>
      <c r="I4" s="272"/>
    </row>
    <row r="5" spans="1:9" ht="15.75">
      <c r="A5" s="124"/>
      <c r="B5" s="33" t="s">
        <v>3</v>
      </c>
      <c r="C5" s="270" t="s">
        <v>431</v>
      </c>
      <c r="D5" s="270"/>
      <c r="E5" s="270"/>
      <c r="F5" s="96"/>
      <c r="G5" s="201"/>
      <c r="H5" s="201"/>
      <c r="I5" s="96"/>
    </row>
    <row r="6" spans="1:9" ht="15.75">
      <c r="A6" s="124"/>
      <c r="B6" s="33" t="s">
        <v>4</v>
      </c>
      <c r="C6" s="275"/>
      <c r="D6" s="275"/>
      <c r="E6" s="275"/>
      <c r="F6" s="96"/>
      <c r="G6" s="201"/>
      <c r="H6" s="201"/>
      <c r="I6" s="96"/>
    </row>
    <row r="7" spans="1:9" ht="15.75">
      <c r="A7" s="125"/>
      <c r="B7" s="126" t="s">
        <v>5</v>
      </c>
      <c r="C7" s="126"/>
      <c r="D7" s="126"/>
      <c r="E7" s="126"/>
      <c r="F7" s="96"/>
      <c r="G7" s="201"/>
      <c r="H7" s="201"/>
      <c r="I7" s="96"/>
    </row>
    <row r="8" spans="1:9" ht="15.75">
      <c r="A8" s="127"/>
      <c r="B8" s="127"/>
      <c r="C8" s="127"/>
      <c r="D8" s="127"/>
      <c r="E8" s="127"/>
      <c r="F8" s="96"/>
      <c r="G8" s="201"/>
      <c r="H8" s="201"/>
      <c r="I8" s="96"/>
    </row>
    <row r="9" spans="1:9" ht="15.75">
      <c r="A9" s="276" t="s">
        <v>6</v>
      </c>
      <c r="B9" s="276"/>
      <c r="C9" s="276"/>
      <c r="D9" s="276"/>
      <c r="E9" s="276"/>
      <c r="F9" s="96"/>
      <c r="G9" s="201"/>
      <c r="H9" s="201"/>
      <c r="I9" s="96"/>
    </row>
    <row r="10" spans="1:9" ht="58.9" customHeight="1">
      <c r="A10" s="129" t="s">
        <v>7</v>
      </c>
      <c r="B10" s="128" t="s">
        <v>8</v>
      </c>
      <c r="C10" s="249"/>
      <c r="D10" s="249"/>
      <c r="E10" s="249"/>
      <c r="F10" s="96"/>
      <c r="G10" s="201"/>
      <c r="H10" s="201"/>
      <c r="I10" s="96"/>
    </row>
    <row r="11" spans="1:9" ht="15.75">
      <c r="A11" s="129" t="s">
        <v>9</v>
      </c>
      <c r="B11" s="128" t="s">
        <v>10</v>
      </c>
      <c r="C11" s="250" t="s">
        <v>11</v>
      </c>
      <c r="D11" s="250"/>
      <c r="E11" s="250"/>
      <c r="F11" s="96"/>
      <c r="G11" s="201"/>
      <c r="H11" s="201"/>
      <c r="I11" s="96"/>
    </row>
    <row r="12" spans="1:9" ht="75">
      <c r="A12" s="129" t="s">
        <v>12</v>
      </c>
      <c r="B12" s="128" t="s">
        <v>13</v>
      </c>
      <c r="C12" s="251" t="s">
        <v>430</v>
      </c>
      <c r="D12" s="251"/>
      <c r="E12" s="251"/>
      <c r="F12" s="96"/>
      <c r="G12" s="201"/>
      <c r="H12" s="201"/>
      <c r="I12" s="179"/>
    </row>
    <row r="13" spans="1:9" ht="45">
      <c r="A13" s="129" t="s">
        <v>14</v>
      </c>
      <c r="B13" s="128" t="s">
        <v>15</v>
      </c>
      <c r="C13" s="250">
        <v>12</v>
      </c>
      <c r="D13" s="250"/>
      <c r="E13" s="250"/>
      <c r="F13" s="96"/>
      <c r="G13" s="201"/>
      <c r="H13" s="201"/>
      <c r="I13" s="96"/>
    </row>
    <row r="14" spans="1:9" ht="15.75">
      <c r="A14" s="127"/>
      <c r="B14" s="127"/>
      <c r="C14" s="127"/>
      <c r="D14" s="127"/>
      <c r="E14" s="127"/>
      <c r="F14" s="96"/>
      <c r="G14" s="201"/>
      <c r="H14" s="201"/>
      <c r="I14" s="96"/>
    </row>
    <row r="15" spans="1:9" ht="15.75">
      <c r="A15" s="277" t="s">
        <v>16</v>
      </c>
      <c r="B15" s="277"/>
      <c r="C15" s="277"/>
      <c r="D15" s="130"/>
      <c r="E15" s="127"/>
      <c r="F15" s="96"/>
      <c r="G15" s="201"/>
      <c r="H15" s="201"/>
      <c r="I15" s="96"/>
    </row>
    <row r="16" spans="1:9" ht="28.15" customHeight="1">
      <c r="A16" s="129" t="s">
        <v>17</v>
      </c>
      <c r="B16" s="129" t="s">
        <v>18</v>
      </c>
      <c r="C16" s="263" t="s">
        <v>19</v>
      </c>
      <c r="D16" s="263"/>
      <c r="E16" s="263"/>
      <c r="F16" s="96"/>
      <c r="G16" s="201"/>
      <c r="H16" s="201"/>
      <c r="I16" s="96"/>
    </row>
    <row r="17" spans="1:9" ht="15.75">
      <c r="A17" s="278" t="s">
        <v>20</v>
      </c>
      <c r="B17" s="129" t="s">
        <v>21</v>
      </c>
      <c r="C17" s="263" t="s">
        <v>22</v>
      </c>
      <c r="D17" s="263"/>
      <c r="E17" s="144">
        <v>12077.39</v>
      </c>
      <c r="F17" s="96"/>
      <c r="G17" s="201"/>
      <c r="H17" s="201"/>
      <c r="I17" s="96"/>
    </row>
    <row r="18" spans="1:9" ht="15.75">
      <c r="A18" s="279"/>
      <c r="B18" s="129" t="s">
        <v>21</v>
      </c>
      <c r="C18" s="250" t="s">
        <v>23</v>
      </c>
      <c r="D18" s="250"/>
      <c r="E18" s="144">
        <v>3054.81</v>
      </c>
      <c r="F18" s="96"/>
      <c r="G18" s="201"/>
      <c r="H18" s="201"/>
      <c r="I18" s="96"/>
    </row>
    <row r="19" spans="1:9" ht="15.75">
      <c r="A19" s="279"/>
      <c r="B19" s="129" t="s">
        <v>21</v>
      </c>
      <c r="C19" s="250" t="s">
        <v>24</v>
      </c>
      <c r="D19" s="250"/>
      <c r="E19" s="144">
        <v>4272.0600000000004</v>
      </c>
      <c r="F19" s="96"/>
      <c r="G19" s="201"/>
      <c r="H19" s="201"/>
      <c r="I19" s="96"/>
    </row>
    <row r="20" spans="1:9" ht="15.75">
      <c r="A20" s="280"/>
      <c r="B20" s="129" t="s">
        <v>21</v>
      </c>
      <c r="C20" s="247" t="s">
        <v>25</v>
      </c>
      <c r="D20" s="248"/>
      <c r="E20" s="144">
        <f>'[1]Cálculo Área m²'!F100</f>
        <v>0</v>
      </c>
      <c r="F20" s="96"/>
      <c r="G20" s="201"/>
      <c r="H20" s="201"/>
      <c r="I20" s="96"/>
    </row>
    <row r="21" spans="1:9" ht="15.75">
      <c r="A21" s="127"/>
      <c r="B21" s="127"/>
      <c r="C21" s="127"/>
      <c r="D21" s="127"/>
      <c r="E21" s="127"/>
      <c r="F21" s="96"/>
      <c r="G21" s="201"/>
      <c r="H21" s="201"/>
      <c r="I21" s="96"/>
    </row>
    <row r="22" spans="1:9" ht="15.75">
      <c r="A22" s="277" t="s">
        <v>26</v>
      </c>
      <c r="B22" s="277"/>
      <c r="C22" s="277"/>
      <c r="D22" s="277"/>
      <c r="E22" s="277"/>
      <c r="F22" s="96"/>
      <c r="G22" s="201"/>
      <c r="H22" s="201"/>
      <c r="I22" s="96"/>
    </row>
    <row r="23" spans="1:9" ht="15.75">
      <c r="A23" s="262" t="s">
        <v>27</v>
      </c>
      <c r="B23" s="262"/>
      <c r="C23" s="262"/>
      <c r="D23" s="262"/>
      <c r="E23" s="262"/>
      <c r="F23" s="96"/>
      <c r="G23" s="201"/>
      <c r="H23" s="201"/>
      <c r="I23" s="96"/>
    </row>
    <row r="24" spans="1:9" ht="60">
      <c r="A24" s="129">
        <v>1</v>
      </c>
      <c r="B24" s="131" t="s">
        <v>28</v>
      </c>
      <c r="C24" s="263" t="s">
        <v>20</v>
      </c>
      <c r="D24" s="263"/>
      <c r="E24" s="263"/>
      <c r="F24" s="96"/>
      <c r="G24" s="201"/>
      <c r="H24" s="201"/>
      <c r="I24" s="96"/>
    </row>
    <row r="25" spans="1:9" ht="45">
      <c r="A25" s="129">
        <v>2</v>
      </c>
      <c r="B25" s="132" t="s">
        <v>29</v>
      </c>
      <c r="C25" s="292">
        <v>1550</v>
      </c>
      <c r="D25" s="292"/>
      <c r="E25" s="292"/>
      <c r="F25" s="96"/>
      <c r="G25" s="201"/>
      <c r="H25" s="201"/>
      <c r="I25" s="96"/>
    </row>
    <row r="26" spans="1:9" ht="75">
      <c r="A26" s="129">
        <v>3</v>
      </c>
      <c r="B26" s="132" t="s">
        <v>30</v>
      </c>
      <c r="C26" s="261" t="s">
        <v>31</v>
      </c>
      <c r="D26" s="261"/>
      <c r="E26" s="261"/>
      <c r="F26" s="96"/>
      <c r="G26" s="201"/>
      <c r="H26" s="201"/>
      <c r="I26" s="96"/>
    </row>
    <row r="27" spans="1:9" ht="45">
      <c r="A27" s="129">
        <v>4</v>
      </c>
      <c r="B27" s="132" t="s">
        <v>32</v>
      </c>
      <c r="C27" s="271">
        <v>45658</v>
      </c>
      <c r="D27" s="271"/>
      <c r="E27" s="271"/>
      <c r="F27" s="96"/>
      <c r="G27" s="201"/>
      <c r="H27" s="201"/>
      <c r="I27" s="96"/>
    </row>
    <row r="28" spans="1:9" ht="15.75">
      <c r="A28" s="96"/>
      <c r="B28" s="96"/>
      <c r="C28" s="96"/>
      <c r="D28" s="96"/>
      <c r="E28" s="96"/>
      <c r="F28" s="96"/>
      <c r="G28" s="201"/>
      <c r="H28" s="201"/>
      <c r="I28" s="96"/>
    </row>
    <row r="29" spans="1:9" ht="15.6" customHeight="1">
      <c r="A29" s="41"/>
      <c r="B29" s="41"/>
      <c r="C29" s="41"/>
      <c r="D29" s="41"/>
      <c r="E29" s="41"/>
      <c r="F29" s="41"/>
      <c r="G29" s="202"/>
      <c r="H29" s="202"/>
      <c r="I29" s="41"/>
    </row>
    <row r="30" spans="1:9" ht="15.75">
      <c r="A30" s="254" t="s">
        <v>33</v>
      </c>
      <c r="B30" s="254"/>
      <c r="C30" s="254"/>
      <c r="D30" s="254"/>
      <c r="E30" s="254"/>
      <c r="F30" s="254"/>
      <c r="G30" s="254"/>
      <c r="H30" s="254"/>
      <c r="I30" s="254"/>
    </row>
    <row r="31" spans="1:9" ht="16.5" thickBot="1">
      <c r="A31" s="41"/>
      <c r="B31" s="41"/>
      <c r="C31" s="41"/>
      <c r="D31" s="41"/>
      <c r="E31" s="41"/>
      <c r="F31" s="41"/>
      <c r="G31" s="202"/>
      <c r="H31" s="202"/>
      <c r="I31" s="41"/>
    </row>
    <row r="32" spans="1:9" ht="16.5" thickBot="1">
      <c r="A32" s="255" t="s">
        <v>34</v>
      </c>
      <c r="B32" s="257"/>
      <c r="C32" s="41"/>
      <c r="D32" s="41"/>
      <c r="E32" s="41"/>
      <c r="F32" s="41"/>
      <c r="G32" s="202"/>
      <c r="H32" s="202"/>
      <c r="I32" s="41"/>
    </row>
    <row r="33" spans="1:9" ht="15.75">
      <c r="A33" s="133" t="s">
        <v>35</v>
      </c>
      <c r="B33" s="181">
        <f>C25</f>
        <v>1550</v>
      </c>
      <c r="C33" s="41"/>
      <c r="D33" s="41"/>
      <c r="E33" s="41"/>
      <c r="F33" s="41"/>
      <c r="G33" s="202"/>
      <c r="H33" s="202"/>
      <c r="I33" s="41"/>
    </row>
    <row r="34" spans="1:9" ht="15.75">
      <c r="A34" s="41"/>
      <c r="B34" s="41"/>
      <c r="C34" s="41"/>
      <c r="D34" s="41"/>
      <c r="E34" s="41"/>
      <c r="F34" s="41"/>
      <c r="G34" s="202"/>
      <c r="H34" s="202"/>
      <c r="I34" s="41"/>
    </row>
    <row r="35" spans="1:9" ht="15.75">
      <c r="A35" s="41"/>
      <c r="B35" s="41"/>
      <c r="C35" s="41"/>
      <c r="D35" s="41"/>
      <c r="E35" s="41"/>
      <c r="F35" s="41"/>
      <c r="G35" s="202"/>
      <c r="H35" s="202"/>
      <c r="I35" s="41"/>
    </row>
    <row r="36" spans="1:9" ht="15.75">
      <c r="A36" s="254" t="s">
        <v>36</v>
      </c>
      <c r="B36" s="254"/>
      <c r="C36" s="254"/>
      <c r="D36" s="254"/>
      <c r="E36" s="254"/>
      <c r="F36" s="254"/>
      <c r="G36" s="254"/>
      <c r="H36" s="254"/>
      <c r="I36" s="254"/>
    </row>
    <row r="37" spans="1:9" ht="16.5" thickBot="1">
      <c r="A37" s="41"/>
      <c r="B37" s="41"/>
      <c r="C37" s="41"/>
      <c r="D37" s="41"/>
      <c r="E37" s="41"/>
      <c r="F37" s="41"/>
      <c r="G37" s="202"/>
      <c r="H37" s="202"/>
      <c r="I37" s="41"/>
    </row>
    <row r="38" spans="1:9" ht="16.5" thickBot="1">
      <c r="A38" s="255" t="s">
        <v>36</v>
      </c>
      <c r="B38" s="256"/>
      <c r="C38" s="256"/>
      <c r="D38" s="257"/>
      <c r="E38" s="41"/>
      <c r="F38" s="41"/>
      <c r="G38" s="202"/>
      <c r="H38" s="202"/>
      <c r="I38" s="41"/>
    </row>
    <row r="39" spans="1:9" ht="15.6" customHeight="1" thickBot="1">
      <c r="A39" s="46" t="s">
        <v>37</v>
      </c>
      <c r="B39" s="47" t="s">
        <v>38</v>
      </c>
      <c r="C39" s="47" t="s">
        <v>39</v>
      </c>
      <c r="D39" s="48" t="s">
        <v>40</v>
      </c>
      <c r="E39" s="41"/>
      <c r="F39" s="41"/>
      <c r="G39" s="202"/>
      <c r="H39" s="202"/>
      <c r="I39" s="41"/>
    </row>
    <row r="40" spans="1:9" ht="15.75">
      <c r="A40" s="133" t="s">
        <v>35</v>
      </c>
      <c r="B40" s="182">
        <f>B33</f>
        <v>1550</v>
      </c>
      <c r="C40" s="51">
        <v>0</v>
      </c>
      <c r="D40" s="52">
        <f>B40*C40</f>
        <v>0</v>
      </c>
      <c r="E40" s="41"/>
      <c r="F40" s="41"/>
      <c r="G40" s="202"/>
      <c r="H40" s="202"/>
      <c r="I40" s="41"/>
    </row>
    <row r="41" spans="1:9" ht="15.75">
      <c r="A41" s="41"/>
      <c r="B41" s="41"/>
      <c r="C41" s="41"/>
      <c r="D41" s="41"/>
      <c r="E41" s="41"/>
      <c r="F41" s="41"/>
      <c r="G41" s="202"/>
      <c r="H41" s="202"/>
      <c r="I41" s="41"/>
    </row>
    <row r="42" spans="1:9" ht="15.75">
      <c r="A42" s="41"/>
      <c r="B42" s="41"/>
      <c r="C42" s="41"/>
      <c r="D42" s="41"/>
      <c r="E42" s="41"/>
      <c r="F42" s="41"/>
      <c r="G42" s="202"/>
      <c r="H42" s="202"/>
      <c r="I42" s="41"/>
    </row>
    <row r="43" spans="1:9" ht="15.75">
      <c r="A43" s="254" t="s">
        <v>33</v>
      </c>
      <c r="B43" s="254"/>
      <c r="C43" s="254"/>
      <c r="D43" s="254"/>
      <c r="E43" s="254"/>
      <c r="F43" s="254"/>
      <c r="G43" s="254"/>
      <c r="H43" s="254"/>
      <c r="I43" s="254"/>
    </row>
    <row r="44" spans="1:9" ht="16.5" thickBot="1">
      <c r="A44" s="41"/>
      <c r="B44" s="41"/>
      <c r="C44" s="41"/>
      <c r="D44" s="41"/>
      <c r="E44" s="41"/>
      <c r="F44" s="41"/>
      <c r="G44" s="202"/>
      <c r="H44" s="202"/>
      <c r="I44" s="41"/>
    </row>
    <row r="45" spans="1:9" ht="16.5" thickBot="1">
      <c r="A45" s="267" t="s">
        <v>33</v>
      </c>
      <c r="B45" s="268"/>
      <c r="C45" s="268"/>
      <c r="D45" s="268"/>
      <c r="E45" s="268"/>
      <c r="F45" s="268"/>
      <c r="G45" s="268"/>
      <c r="H45" s="268"/>
      <c r="I45" s="269"/>
    </row>
    <row r="46" spans="1:9" ht="16.5" thickBot="1">
      <c r="A46" s="43" t="s">
        <v>37</v>
      </c>
      <c r="B46" s="44" t="s">
        <v>41</v>
      </c>
      <c r="C46" s="57" t="s">
        <v>42</v>
      </c>
      <c r="D46" s="44" t="s">
        <v>43</v>
      </c>
      <c r="E46" s="44" t="s">
        <v>43</v>
      </c>
      <c r="F46" s="44" t="s">
        <v>43</v>
      </c>
      <c r="G46" s="209"/>
      <c r="H46" s="209"/>
      <c r="I46" s="45" t="s">
        <v>44</v>
      </c>
    </row>
    <row r="47" spans="1:9" ht="15.75">
      <c r="A47" s="133" t="s">
        <v>35</v>
      </c>
      <c r="B47" s="182">
        <f>$B$33</f>
        <v>1550</v>
      </c>
      <c r="C47" s="50">
        <f>D40</f>
        <v>0</v>
      </c>
      <c r="D47" s="50"/>
      <c r="E47" s="50"/>
      <c r="F47" s="56"/>
      <c r="G47" s="210"/>
      <c r="H47" s="210"/>
      <c r="I47" s="183">
        <f>SUM(B47:F47)</f>
        <v>1550</v>
      </c>
    </row>
    <row r="48" spans="1:9" ht="15.75">
      <c r="A48" s="41"/>
      <c r="B48" s="41"/>
      <c r="C48" s="41"/>
      <c r="D48" s="41"/>
      <c r="E48" s="41"/>
      <c r="F48" s="41"/>
      <c r="G48" s="202"/>
      <c r="H48" s="202"/>
      <c r="I48" s="41"/>
    </row>
    <row r="49" spans="1:9" ht="15.75">
      <c r="A49" s="254" t="s">
        <v>45</v>
      </c>
      <c r="B49" s="254"/>
      <c r="C49" s="254"/>
      <c r="D49" s="254"/>
      <c r="E49" s="254"/>
      <c r="F49" s="254"/>
      <c r="G49" s="254"/>
      <c r="H49" s="254"/>
      <c r="I49" s="254"/>
    </row>
    <row r="50" spans="1:9" ht="15.75">
      <c r="A50" s="41"/>
      <c r="B50" s="41"/>
      <c r="C50" s="41"/>
      <c r="D50" s="41"/>
      <c r="E50" s="41"/>
      <c r="F50" s="41"/>
      <c r="G50" s="202"/>
      <c r="H50" s="202"/>
      <c r="I50" s="41"/>
    </row>
    <row r="51" spans="1:9" ht="15.75">
      <c r="A51" s="254" t="s">
        <v>46</v>
      </c>
      <c r="B51" s="254"/>
      <c r="C51" s="254"/>
      <c r="D51" s="254"/>
      <c r="E51" s="254"/>
      <c r="F51" s="254"/>
      <c r="G51" s="254"/>
      <c r="H51" s="254"/>
      <c r="I51" s="254"/>
    </row>
    <row r="52" spans="1:9" ht="16.5" thickBot="1">
      <c r="A52" s="41"/>
      <c r="B52" s="41"/>
      <c r="C52" s="41"/>
      <c r="D52" s="41"/>
      <c r="E52" s="41"/>
      <c r="F52" s="41"/>
      <c r="G52" s="202"/>
      <c r="H52" s="202"/>
      <c r="I52" s="41"/>
    </row>
    <row r="53" spans="1:9" ht="16.5" thickBot="1">
      <c r="A53" s="255" t="s">
        <v>47</v>
      </c>
      <c r="B53" s="256"/>
      <c r="C53" s="256"/>
      <c r="D53" s="257"/>
      <c r="E53" s="41"/>
      <c r="F53" s="41"/>
      <c r="G53" s="202"/>
      <c r="H53" s="202"/>
      <c r="I53" s="41"/>
    </row>
    <row r="54" spans="1:9" ht="16.5" thickBot="1">
      <c r="A54" s="58" t="s">
        <v>37</v>
      </c>
      <c r="B54" s="59" t="s">
        <v>38</v>
      </c>
      <c r="C54" s="59" t="s">
        <v>39</v>
      </c>
      <c r="D54" s="60" t="s">
        <v>40</v>
      </c>
      <c r="E54" s="41"/>
      <c r="F54" s="41"/>
      <c r="G54" s="202"/>
      <c r="H54" s="202"/>
      <c r="I54" s="41"/>
    </row>
    <row r="55" spans="1:9" ht="15.75">
      <c r="A55" s="133" t="s">
        <v>35</v>
      </c>
      <c r="B55" s="182">
        <f>I47</f>
        <v>1550</v>
      </c>
      <c r="C55" s="61">
        <v>8.3299999999999999E-2</v>
      </c>
      <c r="D55" s="52">
        <f>B55*C55</f>
        <v>129.11500000000001</v>
      </c>
      <c r="E55" s="41"/>
      <c r="F55" s="41"/>
      <c r="G55" s="202"/>
      <c r="H55" s="202"/>
      <c r="I55" s="41"/>
    </row>
    <row r="56" spans="1:9" ht="16.5" thickBot="1">
      <c r="A56" s="41"/>
      <c r="B56" s="41"/>
      <c r="C56" s="41"/>
      <c r="D56" s="41"/>
      <c r="E56" s="41"/>
      <c r="F56" s="41"/>
      <c r="G56" s="202"/>
      <c r="H56" s="202"/>
      <c r="I56" s="41"/>
    </row>
    <row r="57" spans="1:9" ht="16.5" thickBot="1">
      <c r="A57" s="267" t="s">
        <v>48</v>
      </c>
      <c r="B57" s="268"/>
      <c r="C57" s="268"/>
      <c r="D57" s="268"/>
      <c r="E57" s="269"/>
      <c r="F57" s="41"/>
      <c r="G57" s="202"/>
      <c r="H57" s="202"/>
      <c r="I57" s="41"/>
    </row>
    <row r="58" spans="1:9" ht="32.25" thickBot="1">
      <c r="A58" s="58" t="s">
        <v>37</v>
      </c>
      <c r="B58" s="59" t="s">
        <v>38</v>
      </c>
      <c r="C58" s="62" t="s">
        <v>49</v>
      </c>
      <c r="D58" s="59" t="s">
        <v>39</v>
      </c>
      <c r="E58" s="60" t="s">
        <v>40</v>
      </c>
      <c r="F58" s="41"/>
      <c r="G58" s="202"/>
      <c r="H58" s="202"/>
      <c r="I58" s="41"/>
    </row>
    <row r="59" spans="1:9" ht="15.75">
      <c r="A59" s="133" t="s">
        <v>35</v>
      </c>
      <c r="B59" s="182">
        <f>I47</f>
        <v>1550</v>
      </c>
      <c r="C59" s="54">
        <v>0.33329999999999999</v>
      </c>
      <c r="D59" s="61">
        <v>8.3299999999999999E-2</v>
      </c>
      <c r="E59" s="52">
        <f>B59*C59*D59</f>
        <v>43.034029500000003</v>
      </c>
      <c r="F59" s="41"/>
      <c r="G59" s="202"/>
      <c r="H59" s="202"/>
      <c r="I59" s="41"/>
    </row>
    <row r="60" spans="1:9" ht="16.5" thickBot="1">
      <c r="A60" s="41"/>
      <c r="B60" s="41"/>
      <c r="C60" s="41"/>
      <c r="D60" s="41"/>
      <c r="E60" s="41"/>
      <c r="F60" s="41"/>
      <c r="G60" s="202"/>
      <c r="H60" s="202"/>
      <c r="I60" s="41"/>
    </row>
    <row r="61" spans="1:9" ht="16.5" thickBot="1">
      <c r="A61" s="255" t="s">
        <v>50</v>
      </c>
      <c r="B61" s="256"/>
      <c r="C61" s="256"/>
      <c r="D61" s="257"/>
      <c r="E61" s="41"/>
      <c r="F61" s="41"/>
      <c r="G61" s="202"/>
      <c r="H61" s="202"/>
      <c r="I61" s="41"/>
    </row>
    <row r="62" spans="1:9" ht="16.5" thickBot="1">
      <c r="A62" s="58" t="s">
        <v>37</v>
      </c>
      <c r="B62" s="59" t="s">
        <v>38</v>
      </c>
      <c r="C62" s="59" t="s">
        <v>39</v>
      </c>
      <c r="D62" s="60" t="s">
        <v>40</v>
      </c>
      <c r="E62" s="41"/>
      <c r="F62" s="41"/>
      <c r="G62" s="202"/>
      <c r="H62" s="202"/>
      <c r="I62" s="41"/>
    </row>
    <row r="63" spans="1:9" ht="15.75">
      <c r="A63" s="133" t="s">
        <v>35</v>
      </c>
      <c r="B63" s="182">
        <f>I47</f>
        <v>1550</v>
      </c>
      <c r="C63" s="61">
        <f>1/12</f>
        <v>8.3333333333333329E-2</v>
      </c>
      <c r="D63" s="52">
        <f>B63*C63</f>
        <v>129.16666666666666</v>
      </c>
      <c r="E63" s="41"/>
      <c r="F63" s="41"/>
      <c r="G63" s="202"/>
      <c r="H63" s="202"/>
      <c r="I63" s="41"/>
    </row>
    <row r="64" spans="1:9" ht="16.5" thickBot="1">
      <c r="A64" s="41"/>
      <c r="B64" s="41"/>
      <c r="C64" s="41"/>
      <c r="D64" s="41"/>
      <c r="E64" s="41"/>
      <c r="F64" s="41"/>
      <c r="G64" s="202"/>
      <c r="H64" s="202"/>
      <c r="I64" s="41"/>
    </row>
    <row r="65" spans="1:9" ht="16.5" thickBot="1">
      <c r="A65" s="255" t="s">
        <v>46</v>
      </c>
      <c r="B65" s="256"/>
      <c r="C65" s="256"/>
      <c r="D65" s="256"/>
      <c r="E65" s="257"/>
      <c r="F65" s="41"/>
      <c r="G65" s="202"/>
      <c r="H65" s="202"/>
      <c r="I65" s="41"/>
    </row>
    <row r="66" spans="1:9" ht="16.5" thickBot="1">
      <c r="A66" s="58" t="s">
        <v>37</v>
      </c>
      <c r="B66" s="59" t="s">
        <v>51</v>
      </c>
      <c r="C66" s="59" t="s">
        <v>52</v>
      </c>
      <c r="D66" s="59" t="s">
        <v>53</v>
      </c>
      <c r="E66" s="60" t="s">
        <v>44</v>
      </c>
      <c r="F66" s="41"/>
      <c r="G66" s="202"/>
      <c r="H66" s="202"/>
      <c r="I66" s="41"/>
    </row>
    <row r="67" spans="1:9" ht="15.75">
      <c r="A67" s="133" t="s">
        <v>35</v>
      </c>
      <c r="B67" s="50">
        <f>D55</f>
        <v>129.11500000000001</v>
      </c>
      <c r="C67" s="50">
        <f>E59</f>
        <v>43.034029500000003</v>
      </c>
      <c r="D67" s="50">
        <f>D63</f>
        <v>129.16666666666666</v>
      </c>
      <c r="E67" s="52">
        <f>SUM(B67:D67)</f>
        <v>301.31569616666667</v>
      </c>
      <c r="F67" s="41"/>
      <c r="G67" s="202"/>
      <c r="H67" s="202"/>
      <c r="I67" s="41"/>
    </row>
    <row r="68" spans="1:9" ht="15.75">
      <c r="A68" s="41"/>
      <c r="B68" s="41"/>
      <c r="C68" s="41"/>
      <c r="D68" s="41"/>
      <c r="E68" s="41"/>
      <c r="F68" s="41"/>
      <c r="G68" s="202"/>
      <c r="H68" s="202"/>
      <c r="I68" s="41"/>
    </row>
    <row r="69" spans="1:9" ht="15.75">
      <c r="A69" s="254" t="s">
        <v>54</v>
      </c>
      <c r="B69" s="254"/>
      <c r="C69" s="254"/>
      <c r="D69" s="254"/>
      <c r="E69" s="254"/>
      <c r="F69" s="254"/>
      <c r="G69" s="254"/>
      <c r="H69" s="254"/>
      <c r="I69" s="254"/>
    </row>
    <row r="70" spans="1:9" ht="16.5" thickBot="1">
      <c r="A70" s="41"/>
      <c r="B70" s="41"/>
      <c r="C70" s="41"/>
      <c r="D70" s="41"/>
      <c r="E70" s="41"/>
      <c r="F70" s="41"/>
      <c r="G70" s="202"/>
      <c r="H70" s="202"/>
      <c r="I70" s="41"/>
    </row>
    <row r="71" spans="1:9" ht="16.5" thickBot="1">
      <c r="A71" s="255" t="s">
        <v>55</v>
      </c>
      <c r="B71" s="257"/>
      <c r="C71" s="41"/>
      <c r="D71" s="41"/>
      <c r="E71" s="41"/>
      <c r="F71" s="41"/>
      <c r="G71" s="202"/>
      <c r="H71" s="202"/>
      <c r="I71" s="41"/>
    </row>
    <row r="72" spans="1:9" ht="16.5" thickBot="1">
      <c r="A72" s="58" t="s">
        <v>56</v>
      </c>
      <c r="B72" s="60" t="s">
        <v>39</v>
      </c>
      <c r="C72" s="41"/>
      <c r="D72" s="41"/>
      <c r="E72" s="41"/>
      <c r="F72" s="41"/>
      <c r="G72" s="202"/>
      <c r="H72" s="202"/>
      <c r="I72" s="41"/>
    </row>
    <row r="73" spans="1:9" ht="15.75">
      <c r="A73" s="49" t="s">
        <v>57</v>
      </c>
      <c r="B73" s="184">
        <v>0.2</v>
      </c>
      <c r="C73" s="41"/>
      <c r="D73" s="41"/>
      <c r="E73" s="41"/>
      <c r="F73" s="41"/>
      <c r="G73" s="202"/>
      <c r="H73" s="202"/>
      <c r="I73" s="41"/>
    </row>
    <row r="74" spans="1:9" ht="15.75">
      <c r="A74" s="53" t="s">
        <v>58</v>
      </c>
      <c r="B74" s="185">
        <v>2.5000000000000001E-2</v>
      </c>
      <c r="C74" s="41"/>
      <c r="D74" s="41"/>
      <c r="E74" s="41"/>
      <c r="F74" s="41"/>
      <c r="G74" s="202"/>
      <c r="H74" s="202"/>
      <c r="I74" s="41"/>
    </row>
    <row r="75" spans="1:9" ht="15.75">
      <c r="A75" s="53" t="s">
        <v>59</v>
      </c>
      <c r="B75" s="185">
        <v>0.03</v>
      </c>
      <c r="C75" s="41"/>
      <c r="D75" s="41"/>
      <c r="E75" s="41"/>
      <c r="F75" s="41"/>
      <c r="G75" s="202"/>
      <c r="H75" s="202"/>
      <c r="I75" s="41"/>
    </row>
    <row r="76" spans="1:9" ht="15.75">
      <c r="A76" s="53" t="s">
        <v>60</v>
      </c>
      <c r="B76" s="185">
        <v>1.4999999999999999E-2</v>
      </c>
      <c r="C76" s="41"/>
      <c r="D76" s="41"/>
      <c r="E76" s="41"/>
      <c r="F76" s="41"/>
      <c r="G76" s="202"/>
      <c r="H76" s="202"/>
      <c r="I76" s="41"/>
    </row>
    <row r="77" spans="1:9" ht="15.75">
      <c r="A77" s="53" t="s">
        <v>61</v>
      </c>
      <c r="B77" s="185">
        <v>0.01</v>
      </c>
      <c r="C77" s="41"/>
      <c r="D77" s="41"/>
      <c r="E77" s="41"/>
      <c r="F77" s="41"/>
      <c r="G77" s="202"/>
      <c r="H77" s="202"/>
      <c r="I77" s="41"/>
    </row>
    <row r="78" spans="1:9" ht="15.75">
      <c r="A78" s="53" t="s">
        <v>62</v>
      </c>
      <c r="B78" s="185">
        <v>6.0000000000000001E-3</v>
      </c>
      <c r="C78" s="41"/>
      <c r="D78" s="41"/>
      <c r="E78" s="41"/>
      <c r="F78" s="41"/>
      <c r="G78" s="202"/>
      <c r="H78" s="202"/>
      <c r="I78" s="41"/>
    </row>
    <row r="79" spans="1:9" ht="15.75">
      <c r="A79" s="53" t="s">
        <v>63</v>
      </c>
      <c r="B79" s="185">
        <v>2E-3</v>
      </c>
      <c r="C79" s="41"/>
      <c r="D79" s="41"/>
      <c r="E79" s="41"/>
      <c r="F79" s="41"/>
      <c r="G79" s="202"/>
      <c r="H79" s="202"/>
      <c r="I79" s="41"/>
    </row>
    <row r="80" spans="1:9" ht="16.5" thickBot="1">
      <c r="A80" s="42" t="s">
        <v>64</v>
      </c>
      <c r="B80" s="186">
        <v>0.08</v>
      </c>
      <c r="C80" s="41"/>
      <c r="D80" s="41"/>
      <c r="E80" s="41"/>
      <c r="F80" s="41"/>
      <c r="G80" s="202"/>
      <c r="H80" s="202"/>
      <c r="I80" s="41"/>
    </row>
    <row r="81" spans="1:9" ht="16.5" thickBot="1">
      <c r="A81" s="66" t="s">
        <v>65</v>
      </c>
      <c r="B81" s="67">
        <v>0.36800000000000005</v>
      </c>
      <c r="C81" s="41"/>
      <c r="D81" s="41"/>
      <c r="E81" s="41"/>
      <c r="F81" s="41"/>
      <c r="G81" s="202"/>
      <c r="H81" s="202"/>
      <c r="I81" s="41"/>
    </row>
    <row r="82" spans="1:9" ht="16.5" thickBot="1">
      <c r="A82" s="41"/>
      <c r="B82" s="41"/>
      <c r="C82" s="41"/>
      <c r="D82" s="41"/>
      <c r="E82" s="41"/>
      <c r="F82" s="41"/>
      <c r="G82" s="202"/>
      <c r="H82" s="202"/>
      <c r="I82" s="41"/>
    </row>
    <row r="83" spans="1:9" ht="16.5" thickBot="1">
      <c r="A83" s="255" t="s">
        <v>66</v>
      </c>
      <c r="B83" s="256"/>
      <c r="C83" s="256"/>
      <c r="D83" s="257"/>
      <c r="E83" s="41"/>
      <c r="F83" s="41"/>
      <c r="G83" s="202"/>
      <c r="H83" s="202"/>
      <c r="I83" s="41"/>
    </row>
    <row r="84" spans="1:9" ht="16.5" thickBot="1">
      <c r="A84" s="58" t="s">
        <v>37</v>
      </c>
      <c r="B84" s="59" t="s">
        <v>38</v>
      </c>
      <c r="C84" s="59" t="s">
        <v>39</v>
      </c>
      <c r="D84" s="60" t="s">
        <v>40</v>
      </c>
      <c r="E84" s="41"/>
      <c r="F84" s="41"/>
      <c r="G84" s="202"/>
      <c r="H84" s="202"/>
      <c r="I84" s="41"/>
    </row>
    <row r="85" spans="1:9" ht="15.75">
      <c r="A85" s="133" t="s">
        <v>35</v>
      </c>
      <c r="B85" s="50">
        <f>I47+E67</f>
        <v>1851.3156961666666</v>
      </c>
      <c r="C85" s="61">
        <f>$B$81-$B$80</f>
        <v>0.28800000000000003</v>
      </c>
      <c r="D85" s="52">
        <f>B85*C85</f>
        <v>533.17892049600005</v>
      </c>
      <c r="E85" s="41"/>
      <c r="F85" s="41"/>
      <c r="G85" s="202"/>
      <c r="H85" s="202"/>
      <c r="I85" s="41"/>
    </row>
    <row r="86" spans="1:9" ht="16.5" thickBot="1">
      <c r="A86" s="41"/>
      <c r="B86" s="41"/>
      <c r="C86" s="41"/>
      <c r="D86" s="41"/>
      <c r="E86" s="41"/>
      <c r="F86" s="41"/>
      <c r="G86" s="202"/>
      <c r="H86" s="202"/>
      <c r="I86" s="41"/>
    </row>
    <row r="87" spans="1:9" ht="16.5" thickBot="1">
      <c r="A87" s="255" t="s">
        <v>67</v>
      </c>
      <c r="B87" s="256"/>
      <c r="C87" s="256"/>
      <c r="D87" s="257"/>
      <c r="E87" s="41"/>
      <c r="F87" s="41"/>
      <c r="G87" s="202"/>
      <c r="H87" s="202"/>
      <c r="I87" s="41"/>
    </row>
    <row r="88" spans="1:9" ht="16.5" thickBot="1">
      <c r="A88" s="58" t="s">
        <v>37</v>
      </c>
      <c r="B88" s="59" t="s">
        <v>38</v>
      </c>
      <c r="C88" s="59" t="s">
        <v>39</v>
      </c>
      <c r="D88" s="60" t="s">
        <v>40</v>
      </c>
      <c r="E88" s="41"/>
      <c r="F88" s="41"/>
      <c r="G88" s="202"/>
      <c r="H88" s="202"/>
      <c r="I88" s="41"/>
    </row>
    <row r="89" spans="1:9" ht="15.75">
      <c r="A89" s="133" t="s">
        <v>35</v>
      </c>
      <c r="B89" s="50">
        <f>I47+E67</f>
        <v>1851.3156961666666</v>
      </c>
      <c r="C89" s="61">
        <f>$B$80</f>
        <v>0.08</v>
      </c>
      <c r="D89" s="52">
        <f>B89*C89</f>
        <v>148.10525569333333</v>
      </c>
      <c r="E89" s="41"/>
      <c r="F89" s="41"/>
      <c r="G89" s="202"/>
      <c r="H89" s="202"/>
      <c r="I89" s="41"/>
    </row>
    <row r="90" spans="1:9" ht="16.5" thickBot="1">
      <c r="A90" s="41"/>
      <c r="B90" s="41"/>
      <c r="C90" s="41"/>
      <c r="D90" s="41"/>
      <c r="E90" s="41"/>
      <c r="F90" s="41"/>
      <c r="G90" s="202"/>
      <c r="H90" s="202"/>
      <c r="I90" s="41"/>
    </row>
    <row r="91" spans="1:9" ht="16.5" thickBot="1">
      <c r="A91" s="255" t="s">
        <v>54</v>
      </c>
      <c r="B91" s="256"/>
      <c r="C91" s="256"/>
      <c r="D91" s="257"/>
      <c r="E91" s="41"/>
      <c r="F91" s="41"/>
      <c r="G91" s="202"/>
      <c r="H91" s="202"/>
      <c r="I91" s="41"/>
    </row>
    <row r="92" spans="1:9" ht="16.5" thickBot="1">
      <c r="A92" s="58" t="s">
        <v>37</v>
      </c>
      <c r="B92" s="59" t="s">
        <v>68</v>
      </c>
      <c r="C92" s="59" t="s">
        <v>64</v>
      </c>
      <c r="D92" s="60" t="s">
        <v>44</v>
      </c>
      <c r="E92" s="41"/>
      <c r="F92" s="41"/>
      <c r="G92" s="202"/>
      <c r="H92" s="202"/>
      <c r="I92" s="41"/>
    </row>
    <row r="93" spans="1:9" ht="15.75">
      <c r="A93" s="133" t="s">
        <v>35</v>
      </c>
      <c r="B93" s="50">
        <f>D85</f>
        <v>533.17892049600005</v>
      </c>
      <c r="C93" s="50">
        <f>D89</f>
        <v>148.10525569333333</v>
      </c>
      <c r="D93" s="52">
        <f>B93+C93</f>
        <v>681.28417618933338</v>
      </c>
      <c r="E93" s="41"/>
      <c r="F93" s="41"/>
      <c r="G93" s="202"/>
      <c r="H93" s="202"/>
      <c r="I93" s="41"/>
    </row>
    <row r="94" spans="1:9" ht="15.75">
      <c r="A94" s="41"/>
      <c r="B94" s="41"/>
      <c r="C94" s="41"/>
      <c r="D94" s="41"/>
      <c r="E94" s="41"/>
      <c r="F94" s="41"/>
      <c r="G94" s="202"/>
      <c r="H94" s="202"/>
      <c r="I94" s="41"/>
    </row>
    <row r="95" spans="1:9" ht="15.75">
      <c r="A95" s="254" t="s">
        <v>69</v>
      </c>
      <c r="B95" s="254"/>
      <c r="C95" s="254"/>
      <c r="D95" s="254"/>
      <c r="E95" s="254"/>
      <c r="F95" s="254"/>
      <c r="G95" s="254"/>
      <c r="H95" s="254"/>
      <c r="I95" s="254"/>
    </row>
    <row r="96" spans="1:9" ht="15.75">
      <c r="A96" s="41"/>
      <c r="B96" s="41"/>
      <c r="C96" s="41"/>
      <c r="D96" s="41"/>
      <c r="E96" s="41"/>
      <c r="F96" s="41"/>
      <c r="G96" s="202"/>
      <c r="H96" s="202"/>
      <c r="I96" s="41"/>
    </row>
    <row r="97" spans="1:9" ht="15.75">
      <c r="A97" s="254" t="s">
        <v>70</v>
      </c>
      <c r="B97" s="254"/>
      <c r="C97" s="254"/>
      <c r="D97" s="254"/>
      <c r="E97" s="254"/>
      <c r="F97" s="254"/>
      <c r="G97" s="254"/>
      <c r="H97" s="254"/>
      <c r="I97" s="254"/>
    </row>
    <row r="98" spans="1:9" ht="16.5" thickBot="1">
      <c r="A98" s="41"/>
      <c r="B98" s="41"/>
      <c r="C98" s="41"/>
      <c r="D98" s="41"/>
      <c r="E98" s="41"/>
      <c r="F98" s="41"/>
      <c r="G98" s="202"/>
      <c r="H98" s="202"/>
      <c r="I98" s="41"/>
    </row>
    <row r="99" spans="1:9" ht="16.5" thickBot="1">
      <c r="A99" s="255" t="s">
        <v>71</v>
      </c>
      <c r="B99" s="256"/>
      <c r="C99" s="256"/>
      <c r="D99" s="256"/>
      <c r="E99" s="257"/>
      <c r="F99" s="41"/>
      <c r="G99" s="202"/>
      <c r="H99" s="202"/>
      <c r="I99" s="41"/>
    </row>
    <row r="100" spans="1:9" ht="48" thickBot="1">
      <c r="A100" s="58" t="s">
        <v>37</v>
      </c>
      <c r="B100" s="59" t="s">
        <v>72</v>
      </c>
      <c r="C100" s="59" t="s">
        <v>73</v>
      </c>
      <c r="D100" s="62" t="s">
        <v>74</v>
      </c>
      <c r="E100" s="60" t="s">
        <v>75</v>
      </c>
      <c r="F100" s="41"/>
      <c r="G100" s="202"/>
      <c r="H100" s="202"/>
      <c r="I100" s="41"/>
    </row>
    <row r="101" spans="1:9" ht="15.75">
      <c r="A101" s="133" t="s">
        <v>35</v>
      </c>
      <c r="B101" s="50">
        <v>4.5</v>
      </c>
      <c r="C101" s="68">
        <v>2</v>
      </c>
      <c r="D101" s="68">
        <v>22</v>
      </c>
      <c r="E101" s="52">
        <f>B101*C101*D101</f>
        <v>198</v>
      </c>
      <c r="F101" s="41"/>
      <c r="G101" s="202"/>
      <c r="H101" s="202"/>
      <c r="I101" s="41"/>
    </row>
    <row r="102" spans="1:9" ht="16.5" thickBot="1">
      <c r="A102" s="41"/>
      <c r="B102" s="41"/>
      <c r="C102" s="41"/>
      <c r="D102" s="41"/>
      <c r="E102" s="41"/>
      <c r="F102" s="41"/>
      <c r="G102" s="202"/>
      <c r="H102" s="202"/>
      <c r="I102" s="41"/>
    </row>
    <row r="103" spans="1:9" ht="16.5" thickBot="1">
      <c r="A103" s="255" t="s">
        <v>76</v>
      </c>
      <c r="B103" s="256"/>
      <c r="C103" s="256"/>
      <c r="D103" s="256"/>
      <c r="E103" s="257"/>
      <c r="F103" s="41"/>
      <c r="G103" s="202"/>
      <c r="H103" s="202"/>
      <c r="I103" s="41"/>
    </row>
    <row r="104" spans="1:9" ht="16.5" thickBot="1">
      <c r="A104" s="58" t="s">
        <v>37</v>
      </c>
      <c r="B104" s="59" t="s">
        <v>38</v>
      </c>
      <c r="C104" s="59" t="s">
        <v>77</v>
      </c>
      <c r="D104" s="59" t="s">
        <v>39</v>
      </c>
      <c r="E104" s="60" t="s">
        <v>78</v>
      </c>
      <c r="F104" s="41"/>
      <c r="G104" s="202"/>
      <c r="H104" s="202"/>
      <c r="I104" s="41"/>
    </row>
    <row r="105" spans="1:9" ht="15.75">
      <c r="A105" s="133" t="s">
        <v>35</v>
      </c>
      <c r="B105" s="50">
        <f>$B$33</f>
        <v>1550</v>
      </c>
      <c r="C105" s="51">
        <v>1</v>
      </c>
      <c r="D105" s="51">
        <v>0.06</v>
      </c>
      <c r="E105" s="52">
        <f>B105*C105*D105</f>
        <v>93</v>
      </c>
      <c r="F105" s="41"/>
      <c r="G105" s="202"/>
      <c r="H105" s="202"/>
      <c r="I105" s="41"/>
    </row>
    <row r="106" spans="1:9" ht="16.5" thickBot="1">
      <c r="A106" s="41"/>
      <c r="B106" s="41"/>
      <c r="C106" s="41"/>
      <c r="D106" s="41"/>
      <c r="E106" s="41"/>
      <c r="F106" s="41"/>
      <c r="G106" s="202"/>
      <c r="H106" s="202"/>
      <c r="I106" s="41"/>
    </row>
    <row r="107" spans="1:9" ht="16.5" thickBot="1">
      <c r="A107" s="255" t="s">
        <v>79</v>
      </c>
      <c r="B107" s="256"/>
      <c r="C107" s="256"/>
      <c r="D107" s="257"/>
      <c r="E107" s="41"/>
      <c r="F107" s="41"/>
      <c r="G107" s="202"/>
      <c r="H107" s="202"/>
      <c r="I107" s="41"/>
    </row>
    <row r="108" spans="1:9" ht="16.5" thickBot="1">
      <c r="A108" s="58" t="s">
        <v>37</v>
      </c>
      <c r="B108" s="59" t="s">
        <v>75</v>
      </c>
      <c r="C108" s="59" t="s">
        <v>80</v>
      </c>
      <c r="D108" s="60" t="s">
        <v>81</v>
      </c>
      <c r="E108" s="41"/>
      <c r="F108" s="41"/>
      <c r="G108" s="202"/>
      <c r="H108" s="202"/>
      <c r="I108" s="41"/>
    </row>
    <row r="109" spans="1:9" ht="15.75">
      <c r="A109" s="133" t="s">
        <v>35</v>
      </c>
      <c r="B109" s="50">
        <f>E101</f>
        <v>198</v>
      </c>
      <c r="C109" s="50">
        <f>E105</f>
        <v>93</v>
      </c>
      <c r="D109" s="52">
        <f>B109-C109</f>
        <v>105</v>
      </c>
      <c r="E109" s="41"/>
      <c r="F109" s="41"/>
      <c r="G109" s="202"/>
      <c r="H109" s="202"/>
      <c r="I109" s="41"/>
    </row>
    <row r="110" spans="1:9" ht="15.75">
      <c r="A110" s="41"/>
      <c r="B110" s="41"/>
      <c r="C110" s="41"/>
      <c r="D110" s="41"/>
      <c r="E110" s="41"/>
      <c r="F110" s="41"/>
      <c r="G110" s="202"/>
      <c r="H110" s="202"/>
      <c r="I110" s="41"/>
    </row>
    <row r="111" spans="1:9" ht="15.75">
      <c r="A111" s="254" t="s">
        <v>82</v>
      </c>
      <c r="B111" s="254"/>
      <c r="C111" s="254"/>
      <c r="D111" s="254"/>
      <c r="E111" s="254"/>
      <c r="F111" s="254"/>
      <c r="G111" s="254"/>
      <c r="H111" s="254"/>
      <c r="I111" s="254"/>
    </row>
    <row r="112" spans="1:9" ht="16.5" thickBot="1">
      <c r="A112" s="41"/>
      <c r="B112" s="41"/>
      <c r="C112" s="41"/>
      <c r="D112" s="41"/>
      <c r="E112" s="41"/>
      <c r="F112" s="41"/>
      <c r="G112" s="202"/>
      <c r="H112" s="202"/>
      <c r="I112" s="41"/>
    </row>
    <row r="113" spans="1:9" ht="16.5" thickBot="1">
      <c r="A113" s="255" t="s">
        <v>82</v>
      </c>
      <c r="B113" s="256"/>
      <c r="C113" s="256"/>
      <c r="D113" s="257"/>
      <c r="E113" s="41"/>
      <c r="F113" s="41"/>
      <c r="G113" s="202"/>
      <c r="H113" s="202"/>
      <c r="I113" s="41"/>
    </row>
    <row r="114" spans="1:9" ht="48" thickBot="1">
      <c r="A114" s="46" t="s">
        <v>37</v>
      </c>
      <c r="B114" s="47" t="s">
        <v>83</v>
      </c>
      <c r="C114" s="55" t="s">
        <v>74</v>
      </c>
      <c r="D114" s="48" t="s">
        <v>40</v>
      </c>
      <c r="E114" s="41"/>
      <c r="F114" s="41"/>
      <c r="G114" s="202"/>
      <c r="H114" s="202"/>
      <c r="I114" s="41"/>
    </row>
    <row r="115" spans="1:9" ht="15.75">
      <c r="A115" s="133" t="s">
        <v>35</v>
      </c>
      <c r="B115" s="182">
        <v>23</v>
      </c>
      <c r="C115" s="68">
        <v>22</v>
      </c>
      <c r="D115" s="52">
        <f>B115*C115</f>
        <v>506</v>
      </c>
      <c r="E115" s="41"/>
      <c r="F115" s="41"/>
      <c r="G115" s="202"/>
      <c r="H115" s="202"/>
      <c r="I115" s="41"/>
    </row>
    <row r="116" spans="1:9" ht="16.5" thickBot="1">
      <c r="A116" s="41"/>
      <c r="B116" s="41"/>
      <c r="C116" s="41"/>
      <c r="D116" s="41"/>
      <c r="E116" s="41"/>
      <c r="F116" s="41"/>
      <c r="G116" s="202"/>
      <c r="H116" s="202"/>
      <c r="I116" s="41"/>
    </row>
    <row r="117" spans="1:9" ht="16.5" thickBot="1">
      <c r="A117" s="255" t="s">
        <v>84</v>
      </c>
      <c r="B117" s="256"/>
      <c r="C117" s="256"/>
      <c r="D117" s="257"/>
      <c r="E117" s="41"/>
      <c r="F117" s="41"/>
      <c r="G117" s="202"/>
      <c r="H117" s="202"/>
      <c r="I117" s="41"/>
    </row>
    <row r="118" spans="1:9" ht="16.5" thickBot="1">
      <c r="A118" s="58" t="s">
        <v>37</v>
      </c>
      <c r="B118" s="59" t="s">
        <v>38</v>
      </c>
      <c r="C118" s="59" t="s">
        <v>39</v>
      </c>
      <c r="D118" s="60" t="s">
        <v>78</v>
      </c>
      <c r="E118" s="41"/>
      <c r="F118" s="41"/>
      <c r="G118" s="202"/>
      <c r="H118" s="202"/>
      <c r="I118" s="41"/>
    </row>
    <row r="119" spans="1:9" ht="15.75">
      <c r="A119" s="133" t="s">
        <v>35</v>
      </c>
      <c r="B119" s="50">
        <f>D115</f>
        <v>506</v>
      </c>
      <c r="C119" s="187">
        <v>0.1</v>
      </c>
      <c r="D119" s="52">
        <f>B119*C119</f>
        <v>50.6</v>
      </c>
      <c r="E119" s="41"/>
      <c r="F119" s="41"/>
      <c r="G119" s="202"/>
      <c r="H119" s="202"/>
      <c r="I119" s="41"/>
    </row>
    <row r="120" spans="1:9" ht="16.5" thickBot="1">
      <c r="A120" s="41"/>
      <c r="B120" s="41"/>
      <c r="C120" s="41"/>
      <c r="D120" s="41"/>
      <c r="E120" s="41"/>
      <c r="F120" s="41"/>
      <c r="G120" s="202"/>
      <c r="H120" s="202"/>
      <c r="I120" s="41"/>
    </row>
    <row r="121" spans="1:9" ht="16.5" thickBot="1">
      <c r="A121" s="255" t="s">
        <v>85</v>
      </c>
      <c r="B121" s="256"/>
      <c r="C121" s="256"/>
      <c r="D121" s="257"/>
      <c r="E121" s="41"/>
      <c r="F121" s="41"/>
      <c r="G121" s="202"/>
      <c r="H121" s="202"/>
      <c r="I121" s="41"/>
    </row>
    <row r="122" spans="1:9" ht="16.5" thickBot="1">
      <c r="A122" s="58" t="s">
        <v>37</v>
      </c>
      <c r="B122" s="59" t="s">
        <v>75</v>
      </c>
      <c r="C122" s="59" t="s">
        <v>80</v>
      </c>
      <c r="D122" s="60" t="s">
        <v>81</v>
      </c>
      <c r="E122" s="41"/>
      <c r="F122" s="41"/>
      <c r="G122" s="202"/>
      <c r="H122" s="202"/>
      <c r="I122" s="41"/>
    </row>
    <row r="123" spans="1:9" ht="15.75">
      <c r="A123" s="133" t="s">
        <v>35</v>
      </c>
      <c r="B123" s="50">
        <f>D115</f>
        <v>506</v>
      </c>
      <c r="C123" s="50">
        <f>D119</f>
        <v>50.6</v>
      </c>
      <c r="D123" s="52">
        <f>B123-C123</f>
        <v>455.4</v>
      </c>
      <c r="E123" s="41"/>
      <c r="F123" s="41"/>
      <c r="G123" s="202"/>
      <c r="H123" s="202"/>
      <c r="I123" s="41"/>
    </row>
    <row r="124" spans="1:9" ht="15.75">
      <c r="A124" s="41"/>
      <c r="B124" s="41"/>
      <c r="C124" s="41"/>
      <c r="D124" s="41"/>
      <c r="E124" s="41"/>
      <c r="F124" s="41"/>
      <c r="G124" s="202"/>
      <c r="H124" s="202"/>
      <c r="I124" s="41"/>
    </row>
    <row r="125" spans="1:9" ht="15.75">
      <c r="A125" s="254" t="s">
        <v>86</v>
      </c>
      <c r="B125" s="254"/>
      <c r="C125" s="254"/>
      <c r="D125" s="254"/>
      <c r="E125" s="254"/>
      <c r="F125" s="254"/>
      <c r="G125" s="254"/>
      <c r="H125" s="254"/>
      <c r="I125" s="254"/>
    </row>
    <row r="126" spans="1:9" ht="16.5" thickBot="1">
      <c r="A126" s="41"/>
      <c r="B126" s="41"/>
      <c r="C126" s="41"/>
      <c r="D126" s="41"/>
      <c r="E126" s="41"/>
      <c r="F126" s="41"/>
      <c r="G126" s="202"/>
      <c r="H126" s="202"/>
      <c r="I126" s="41"/>
    </row>
    <row r="127" spans="1:9" ht="16.5" thickBot="1">
      <c r="A127" s="255" t="s">
        <v>87</v>
      </c>
      <c r="B127" s="256"/>
      <c r="C127" s="256"/>
      <c r="D127" s="257"/>
      <c r="E127" s="41"/>
      <c r="F127" s="41"/>
      <c r="G127" s="202"/>
      <c r="H127" s="202"/>
      <c r="I127" s="41"/>
    </row>
    <row r="128" spans="1:9" ht="16.5" thickBot="1">
      <c r="A128" s="58" t="s">
        <v>37</v>
      </c>
      <c r="B128" s="59" t="s">
        <v>38</v>
      </c>
      <c r="C128" s="59" t="s">
        <v>78</v>
      </c>
      <c r="D128" s="60" t="s">
        <v>40</v>
      </c>
      <c r="E128" s="41"/>
      <c r="F128" s="41"/>
      <c r="G128" s="202"/>
      <c r="H128" s="202"/>
      <c r="I128" s="41"/>
    </row>
    <row r="129" spans="1:9" ht="15.75">
      <c r="A129" s="133" t="s">
        <v>35</v>
      </c>
      <c r="B129" s="182">
        <v>150</v>
      </c>
      <c r="C129" s="50">
        <v>0</v>
      </c>
      <c r="D129" s="52">
        <f>B129-C129</f>
        <v>150</v>
      </c>
      <c r="E129" s="41"/>
      <c r="F129" s="41"/>
      <c r="G129" s="202"/>
      <c r="H129" s="202"/>
      <c r="I129" s="41"/>
    </row>
    <row r="130" spans="1:9" ht="15.75">
      <c r="A130" s="41"/>
      <c r="B130" s="41"/>
      <c r="C130" s="41"/>
      <c r="D130" s="41"/>
      <c r="E130" s="41"/>
      <c r="F130" s="41"/>
      <c r="G130" s="202"/>
      <c r="H130" s="202"/>
      <c r="I130" s="41"/>
    </row>
    <row r="131" spans="1:9" ht="15.75">
      <c r="A131" s="254" t="s">
        <v>88</v>
      </c>
      <c r="B131" s="254"/>
      <c r="C131" s="254"/>
      <c r="D131" s="254"/>
      <c r="E131" s="254"/>
      <c r="F131" s="254"/>
      <c r="G131" s="254"/>
      <c r="H131" s="254"/>
      <c r="I131" s="254"/>
    </row>
    <row r="132" spans="1:9" ht="16.5" thickBot="1">
      <c r="A132" s="41"/>
      <c r="B132" s="41"/>
      <c r="C132" s="41"/>
      <c r="D132" s="41"/>
      <c r="E132" s="41"/>
      <c r="F132" s="41"/>
      <c r="G132" s="202"/>
      <c r="H132" s="202"/>
      <c r="I132" s="41"/>
    </row>
    <row r="133" spans="1:9" ht="16.5" thickBot="1">
      <c r="A133" s="255" t="s">
        <v>89</v>
      </c>
      <c r="B133" s="256"/>
      <c r="C133" s="256"/>
      <c r="D133" s="257"/>
      <c r="E133" s="41"/>
      <c r="F133" s="41"/>
      <c r="G133" s="202"/>
      <c r="H133" s="202"/>
      <c r="I133" s="41"/>
    </row>
    <row r="134" spans="1:9" ht="16.5" thickBot="1">
      <c r="A134" s="58" t="s">
        <v>37</v>
      </c>
      <c r="B134" s="59" t="s">
        <v>38</v>
      </c>
      <c r="C134" s="59" t="s">
        <v>78</v>
      </c>
      <c r="D134" s="60" t="s">
        <v>40</v>
      </c>
      <c r="E134" s="41"/>
      <c r="F134" s="41"/>
      <c r="G134" s="202"/>
      <c r="H134" s="202"/>
      <c r="I134" s="41"/>
    </row>
    <row r="135" spans="1:9" ht="15.75">
      <c r="A135" s="133" t="s">
        <v>35</v>
      </c>
      <c r="B135" s="182">
        <v>15</v>
      </c>
      <c r="C135" s="50">
        <v>0</v>
      </c>
      <c r="D135" s="52">
        <f>B135-C135</f>
        <v>15</v>
      </c>
      <c r="E135" s="41"/>
      <c r="F135" s="41"/>
      <c r="G135" s="202"/>
      <c r="H135" s="202"/>
      <c r="I135" s="41"/>
    </row>
    <row r="136" spans="1:9" ht="15.75">
      <c r="A136" s="203"/>
      <c r="B136" s="208"/>
      <c r="C136" s="205"/>
      <c r="D136" s="206"/>
      <c r="E136" s="191"/>
      <c r="F136" s="191"/>
      <c r="G136" s="202"/>
      <c r="H136" s="202"/>
      <c r="I136" s="191"/>
    </row>
    <row r="137" spans="1:9" ht="15.75">
      <c r="A137" s="254" t="s">
        <v>410</v>
      </c>
      <c r="B137" s="254"/>
      <c r="C137" s="254"/>
      <c r="D137" s="254"/>
      <c r="E137" s="254"/>
      <c r="F137" s="254"/>
      <c r="G137" s="254"/>
      <c r="H137" s="254"/>
      <c r="I137" s="254"/>
    </row>
    <row r="138" spans="1:9" ht="16.5" thickBot="1">
      <c r="A138" s="191"/>
      <c r="B138" s="191"/>
      <c r="C138" s="191"/>
      <c r="D138" s="191"/>
      <c r="E138" s="191"/>
      <c r="F138" s="191"/>
      <c r="G138" s="202"/>
      <c r="H138" s="202"/>
      <c r="I138" s="191"/>
    </row>
    <row r="139" spans="1:9" ht="16.5" thickBot="1">
      <c r="A139" s="255" t="s">
        <v>411</v>
      </c>
      <c r="B139" s="256"/>
      <c r="C139" s="256"/>
      <c r="D139" s="257"/>
      <c r="E139" s="191"/>
      <c r="F139" s="191"/>
      <c r="G139" s="202"/>
      <c r="H139" s="202"/>
      <c r="I139" s="191"/>
    </row>
    <row r="140" spans="1:9" ht="16.5" thickBot="1">
      <c r="A140" s="58" t="s">
        <v>37</v>
      </c>
      <c r="B140" s="59" t="s">
        <v>38</v>
      </c>
      <c r="C140" s="59" t="s">
        <v>78</v>
      </c>
      <c r="D140" s="60" t="s">
        <v>40</v>
      </c>
      <c r="E140" s="191"/>
      <c r="F140" s="191"/>
      <c r="G140" s="202"/>
      <c r="H140" s="202"/>
      <c r="I140" s="191"/>
    </row>
    <row r="141" spans="1:9" ht="15.75">
      <c r="A141" s="133" t="s">
        <v>35</v>
      </c>
      <c r="B141" s="182">
        <v>15</v>
      </c>
      <c r="C141" s="50">
        <v>0</v>
      </c>
      <c r="D141" s="52">
        <f>B141-C141</f>
        <v>15</v>
      </c>
      <c r="E141" s="191"/>
      <c r="F141" s="191"/>
      <c r="G141" s="202"/>
      <c r="H141" s="202"/>
      <c r="I141" s="191"/>
    </row>
    <row r="142" spans="1:9" ht="15.75">
      <c r="A142" s="203"/>
      <c r="B142" s="208"/>
      <c r="C142" s="205"/>
      <c r="D142" s="206"/>
      <c r="E142" s="202"/>
      <c r="F142" s="202"/>
      <c r="G142" s="202"/>
      <c r="H142" s="202"/>
      <c r="I142" s="202"/>
    </row>
    <row r="143" spans="1:9" ht="15.75">
      <c r="A143" s="254" t="s">
        <v>412</v>
      </c>
      <c r="B143" s="254"/>
      <c r="C143" s="254"/>
      <c r="D143" s="254"/>
      <c r="E143" s="254"/>
      <c r="F143" s="254"/>
      <c r="G143" s="254"/>
      <c r="H143" s="254"/>
      <c r="I143" s="254"/>
    </row>
    <row r="144" spans="1:9" ht="16.5" thickBot="1">
      <c r="A144" s="202"/>
      <c r="B144" s="202"/>
      <c r="C144" s="202"/>
      <c r="D144" s="202"/>
      <c r="E144" s="202"/>
      <c r="F144" s="202"/>
      <c r="G144" s="202"/>
      <c r="H144" s="202"/>
      <c r="I144" s="202"/>
    </row>
    <row r="145" spans="1:9" ht="16.5" thickBot="1">
      <c r="A145" s="255" t="s">
        <v>413</v>
      </c>
      <c r="B145" s="256"/>
      <c r="C145" s="256"/>
      <c r="D145" s="257"/>
      <c r="E145" s="202"/>
      <c r="F145" s="202"/>
      <c r="G145" s="202"/>
      <c r="H145" s="202"/>
      <c r="I145" s="202"/>
    </row>
    <row r="146" spans="1:9" ht="16.5" thickBot="1">
      <c r="A146" s="58" t="s">
        <v>37</v>
      </c>
      <c r="B146" s="59" t="s">
        <v>38</v>
      </c>
      <c r="C146" s="59" t="s">
        <v>78</v>
      </c>
      <c r="D146" s="60" t="s">
        <v>40</v>
      </c>
      <c r="E146" s="202"/>
      <c r="F146" s="202"/>
      <c r="G146" s="202"/>
      <c r="H146" s="202"/>
      <c r="I146" s="202"/>
    </row>
    <row r="147" spans="1:9" ht="15.75">
      <c r="A147" s="133" t="s">
        <v>35</v>
      </c>
      <c r="B147" s="182">
        <v>10</v>
      </c>
      <c r="C147" s="50">
        <v>0</v>
      </c>
      <c r="D147" s="52">
        <f>B147-C147</f>
        <v>10</v>
      </c>
      <c r="E147" s="202"/>
      <c r="F147" s="202"/>
      <c r="G147" s="202"/>
      <c r="H147" s="202"/>
      <c r="I147" s="202"/>
    </row>
    <row r="148" spans="1:9" ht="15.75">
      <c r="A148" s="41"/>
      <c r="B148" s="41"/>
      <c r="C148" s="41"/>
      <c r="D148" s="41"/>
      <c r="E148" s="41"/>
      <c r="F148" s="41"/>
      <c r="G148" s="202"/>
      <c r="H148" s="202"/>
      <c r="I148" s="41"/>
    </row>
    <row r="149" spans="1:9" ht="15.75">
      <c r="A149" s="264" t="s">
        <v>69</v>
      </c>
      <c r="B149" s="265"/>
      <c r="C149" s="265"/>
      <c r="D149" s="265"/>
      <c r="E149" s="265"/>
      <c r="F149" s="265"/>
      <c r="G149" s="265"/>
      <c r="H149" s="265"/>
      <c r="I149" s="265"/>
    </row>
    <row r="150" spans="1:9" ht="16.5" thickBot="1">
      <c r="A150" s="58" t="s">
        <v>37</v>
      </c>
      <c r="B150" s="59" t="s">
        <v>90</v>
      </c>
      <c r="C150" s="59" t="s">
        <v>91</v>
      </c>
      <c r="D150" s="59" t="s">
        <v>92</v>
      </c>
      <c r="E150" s="59" t="s">
        <v>93</v>
      </c>
      <c r="F150" s="59" t="s">
        <v>414</v>
      </c>
      <c r="G150" s="211" t="s">
        <v>415</v>
      </c>
      <c r="H150" s="60" t="s">
        <v>44</v>
      </c>
    </row>
    <row r="151" spans="1:9" ht="15.75">
      <c r="A151" s="133" t="s">
        <v>35</v>
      </c>
      <c r="B151" s="50">
        <f>D109</f>
        <v>105</v>
      </c>
      <c r="C151" s="50">
        <f>D123</f>
        <v>455.4</v>
      </c>
      <c r="D151" s="50">
        <f>D129</f>
        <v>150</v>
      </c>
      <c r="E151" s="50">
        <f>D135</f>
        <v>15</v>
      </c>
      <c r="F151" s="50">
        <f>D141</f>
        <v>15</v>
      </c>
      <c r="G151" s="212">
        <f>D147</f>
        <v>10</v>
      </c>
      <c r="H151" s="52">
        <f>SUM(B151:G151)</f>
        <v>750.4</v>
      </c>
    </row>
    <row r="152" spans="1:9" ht="15.75">
      <c r="A152" s="41"/>
      <c r="B152" s="41"/>
      <c r="C152" s="41"/>
      <c r="D152" s="41"/>
      <c r="E152" s="41"/>
      <c r="F152" s="41"/>
      <c r="G152" s="202"/>
      <c r="H152" s="202"/>
      <c r="I152" s="41"/>
    </row>
    <row r="153" spans="1:9" ht="15.75">
      <c r="A153" s="254" t="s">
        <v>94</v>
      </c>
      <c r="B153" s="254"/>
      <c r="C153" s="254"/>
      <c r="D153" s="254"/>
      <c r="E153" s="254"/>
      <c r="F153" s="254"/>
      <c r="G153" s="254"/>
      <c r="H153" s="254"/>
      <c r="I153" s="254"/>
    </row>
    <row r="154" spans="1:9" ht="16.5" thickBot="1">
      <c r="A154" s="41"/>
      <c r="B154" s="41"/>
      <c r="C154" s="41"/>
      <c r="D154" s="41"/>
      <c r="E154" s="41"/>
      <c r="F154" s="41"/>
      <c r="G154" s="202"/>
      <c r="H154" s="202"/>
      <c r="I154" s="41"/>
    </row>
    <row r="155" spans="1:9" ht="16.5" thickBot="1">
      <c r="A155" s="255" t="s">
        <v>94</v>
      </c>
      <c r="B155" s="256"/>
      <c r="C155" s="256"/>
      <c r="D155" s="256"/>
      <c r="E155" s="257"/>
      <c r="F155" s="41"/>
      <c r="G155" s="202"/>
      <c r="H155" s="202"/>
      <c r="I155" s="41"/>
    </row>
    <row r="156" spans="1:9" ht="16.5" thickBot="1">
      <c r="A156" s="58" t="s">
        <v>37</v>
      </c>
      <c r="B156" s="59" t="s">
        <v>95</v>
      </c>
      <c r="C156" s="59" t="s">
        <v>96</v>
      </c>
      <c r="D156" s="59" t="s">
        <v>97</v>
      </c>
      <c r="E156" s="60" t="s">
        <v>44</v>
      </c>
      <c r="F156" s="41"/>
      <c r="G156" s="202"/>
      <c r="H156" s="202"/>
      <c r="I156" s="41"/>
    </row>
    <row r="157" spans="1:9" ht="15.75">
      <c r="A157" s="133" t="s">
        <v>35</v>
      </c>
      <c r="B157" s="50">
        <f>E67</f>
        <v>301.31569616666667</v>
      </c>
      <c r="C157" s="50">
        <f>D93</f>
        <v>681.28417618933338</v>
      </c>
      <c r="D157" s="50">
        <f>H151</f>
        <v>750.4</v>
      </c>
      <c r="E157" s="52">
        <f>SUM(B157:D157)</f>
        <v>1732.9998723560002</v>
      </c>
      <c r="F157" s="41"/>
      <c r="G157" s="202"/>
      <c r="H157" s="202"/>
      <c r="I157" s="41"/>
    </row>
    <row r="158" spans="1:9" ht="15.75">
      <c r="A158" s="41"/>
      <c r="B158" s="41"/>
      <c r="C158" s="41"/>
      <c r="D158" s="41"/>
      <c r="E158" s="41"/>
      <c r="F158" s="41"/>
      <c r="G158" s="202"/>
      <c r="H158" s="202"/>
      <c r="I158" s="41"/>
    </row>
    <row r="159" spans="1:9" ht="15.75">
      <c r="A159" s="254" t="s">
        <v>98</v>
      </c>
      <c r="B159" s="254"/>
      <c r="C159" s="254"/>
      <c r="D159" s="254"/>
      <c r="E159" s="254"/>
      <c r="F159" s="254"/>
      <c r="G159" s="254"/>
      <c r="H159" s="254"/>
      <c r="I159" s="254"/>
    </row>
    <row r="160" spans="1:9" ht="16.5" thickBot="1">
      <c r="A160" s="41"/>
      <c r="B160" s="41"/>
      <c r="C160" s="41"/>
      <c r="D160" s="41"/>
      <c r="E160" s="41"/>
      <c r="F160" s="41"/>
      <c r="G160" s="202"/>
      <c r="H160" s="202"/>
      <c r="I160" s="41"/>
    </row>
    <row r="161" spans="1:9" ht="37.9" customHeight="1" thickBot="1">
      <c r="A161" s="252" t="s">
        <v>99</v>
      </c>
      <c r="B161" s="253"/>
      <c r="C161" s="41"/>
      <c r="D161" s="41"/>
      <c r="E161" s="41"/>
      <c r="F161" s="41"/>
      <c r="G161" s="202"/>
      <c r="H161" s="202"/>
      <c r="I161" s="41"/>
    </row>
    <row r="162" spans="1:9" ht="16.5" thickBot="1">
      <c r="A162" s="43" t="s">
        <v>100</v>
      </c>
      <c r="B162" s="45" t="s">
        <v>39</v>
      </c>
      <c r="C162" s="41"/>
      <c r="D162" s="41"/>
      <c r="E162" s="41"/>
      <c r="F162" s="41"/>
      <c r="G162" s="202"/>
      <c r="H162" s="202"/>
      <c r="I162" s="41"/>
    </row>
    <row r="163" spans="1:9" ht="31.5">
      <c r="A163" s="70" t="s">
        <v>101</v>
      </c>
      <c r="B163" s="71">
        <v>0.83850000000000002</v>
      </c>
      <c r="C163" s="41"/>
      <c r="D163" s="41"/>
      <c r="E163" s="41"/>
      <c r="F163" s="41"/>
      <c r="G163" s="202"/>
      <c r="H163" s="202"/>
      <c r="I163" s="41"/>
    </row>
    <row r="164" spans="1:9" ht="31.5">
      <c r="A164" s="72" t="s">
        <v>102</v>
      </c>
      <c r="B164" s="188">
        <f>1/12*5%</f>
        <v>4.1666666666666666E-3</v>
      </c>
      <c r="C164" s="173" t="s">
        <v>409</v>
      </c>
      <c r="D164" s="41"/>
      <c r="E164" s="41"/>
      <c r="F164" s="41"/>
      <c r="G164" s="202"/>
      <c r="H164" s="202"/>
      <c r="I164" s="41"/>
    </row>
    <row r="165" spans="1:9" ht="31.5">
      <c r="A165" s="72" t="s">
        <v>103</v>
      </c>
      <c r="B165" s="188">
        <f>((7/30)/12)</f>
        <v>1.9444444444444445E-2</v>
      </c>
      <c r="C165" s="173" t="s">
        <v>408</v>
      </c>
      <c r="D165" s="41"/>
      <c r="E165" s="41"/>
      <c r="F165" s="41"/>
      <c r="G165" s="202"/>
      <c r="H165" s="202"/>
      <c r="I165" s="41"/>
    </row>
    <row r="166" spans="1:9" ht="31.5">
      <c r="A166" s="72" t="s">
        <v>104</v>
      </c>
      <c r="B166" s="73">
        <v>1.7399999999999999E-2</v>
      </c>
      <c r="C166" s="41"/>
      <c r="D166" s="41"/>
      <c r="E166" s="41"/>
      <c r="F166" s="41"/>
      <c r="G166" s="202"/>
      <c r="H166" s="202"/>
      <c r="I166" s="41"/>
    </row>
    <row r="167" spans="1:9" ht="32.25" thickBot="1">
      <c r="A167" s="74" t="s">
        <v>105</v>
      </c>
      <c r="B167" s="75">
        <v>0.14410000000000001</v>
      </c>
      <c r="C167" s="41"/>
      <c r="D167" s="41"/>
      <c r="E167" s="41"/>
      <c r="F167" s="41"/>
      <c r="G167" s="202"/>
      <c r="H167" s="202"/>
      <c r="I167" s="41"/>
    </row>
    <row r="168" spans="1:9" ht="16.5" thickBot="1">
      <c r="A168" s="43" t="s">
        <v>65</v>
      </c>
      <c r="B168" s="76">
        <f>SUM(B164:B167)</f>
        <v>0.18511111111111112</v>
      </c>
      <c r="C168" s="41"/>
      <c r="D168" s="41"/>
      <c r="E168" s="41"/>
      <c r="F168" s="41"/>
      <c r="G168" s="202"/>
      <c r="H168" s="202"/>
      <c r="I168" s="41"/>
    </row>
    <row r="169" spans="1:9" ht="15.75">
      <c r="A169" s="41"/>
      <c r="B169" s="41"/>
      <c r="C169" s="41"/>
      <c r="D169" s="41"/>
      <c r="E169" s="41"/>
      <c r="F169" s="41"/>
      <c r="G169" s="202"/>
      <c r="H169" s="202"/>
      <c r="I169" s="41"/>
    </row>
    <row r="170" spans="1:9" ht="15.75">
      <c r="A170" s="254" t="s">
        <v>106</v>
      </c>
      <c r="B170" s="254"/>
      <c r="C170" s="254"/>
      <c r="D170" s="254"/>
      <c r="E170" s="254"/>
      <c r="F170" s="254"/>
      <c r="G170" s="254"/>
      <c r="H170" s="254"/>
      <c r="I170" s="254"/>
    </row>
    <row r="171" spans="1:9" ht="16.5" thickBot="1">
      <c r="A171" s="41"/>
      <c r="B171" s="41"/>
      <c r="C171" s="41"/>
      <c r="D171" s="41"/>
      <c r="E171" s="41"/>
      <c r="F171" s="41"/>
      <c r="G171" s="202"/>
      <c r="H171" s="202"/>
      <c r="I171" s="41"/>
    </row>
    <row r="172" spans="1:9" ht="16.5" thickBot="1">
      <c r="A172" s="255" t="s">
        <v>107</v>
      </c>
      <c r="B172" s="256"/>
      <c r="C172" s="256"/>
      <c r="D172" s="257"/>
      <c r="E172" s="301" t="s">
        <v>108</v>
      </c>
      <c r="F172" s="302"/>
      <c r="G172" s="202"/>
      <c r="H172" s="202"/>
      <c r="I172" s="41"/>
    </row>
    <row r="173" spans="1:9" ht="16.5" thickBot="1">
      <c r="A173" s="58" t="s">
        <v>37</v>
      </c>
      <c r="B173" s="59" t="s">
        <v>38</v>
      </c>
      <c r="C173" s="59" t="s">
        <v>109</v>
      </c>
      <c r="D173" s="60" t="s">
        <v>40</v>
      </c>
      <c r="E173" s="41"/>
      <c r="F173" s="41"/>
      <c r="G173" s="202"/>
      <c r="H173" s="202"/>
      <c r="I173" s="41"/>
    </row>
    <row r="174" spans="1:9" ht="15.75">
      <c r="A174" s="133" t="s">
        <v>35</v>
      </c>
      <c r="B174" s="50">
        <f>I47+(E157-D85)</f>
        <v>2749.8209518600002</v>
      </c>
      <c r="C174" s="56">
        <v>12</v>
      </c>
      <c r="D174" s="52">
        <f>B174/C174</f>
        <v>229.15174598833335</v>
      </c>
      <c r="E174" s="41"/>
      <c r="F174" s="41"/>
      <c r="G174" s="202"/>
      <c r="H174" s="202"/>
      <c r="I174" s="41"/>
    </row>
    <row r="175" spans="1:9" ht="16.5" thickBot="1">
      <c r="A175" s="41"/>
      <c r="B175" s="41"/>
      <c r="C175" s="41"/>
      <c r="D175" s="41"/>
      <c r="E175" s="41"/>
      <c r="F175" s="41"/>
      <c r="G175" s="202"/>
      <c r="H175" s="202"/>
      <c r="I175" s="41"/>
    </row>
    <row r="176" spans="1:9" ht="16.5" thickBot="1">
      <c r="A176" s="258" t="s">
        <v>110</v>
      </c>
      <c r="B176" s="259"/>
      <c r="C176" s="259"/>
      <c r="D176" s="260"/>
      <c r="E176" s="77"/>
      <c r="F176" s="41"/>
      <c r="G176" s="202"/>
      <c r="H176" s="202"/>
      <c r="I176" s="41"/>
    </row>
    <row r="177" spans="1:9" ht="32.25" thickBot="1">
      <c r="A177" s="58" t="s">
        <v>37</v>
      </c>
      <c r="B177" s="59" t="s">
        <v>38</v>
      </c>
      <c r="C177" s="78" t="s">
        <v>111</v>
      </c>
      <c r="D177" s="60" t="s">
        <v>40</v>
      </c>
      <c r="E177" s="41"/>
      <c r="F177" s="41"/>
      <c r="G177" s="202"/>
      <c r="H177" s="202"/>
      <c r="I177" s="41"/>
    </row>
    <row r="178" spans="1:9" ht="15.75">
      <c r="A178" s="133" t="s">
        <v>35</v>
      </c>
      <c r="B178" s="50">
        <f>D89</f>
        <v>148.10525569333333</v>
      </c>
      <c r="C178" s="54">
        <v>0.4</v>
      </c>
      <c r="D178" s="52">
        <f>B178*C178</f>
        <v>59.242102277333338</v>
      </c>
      <c r="E178" s="41"/>
      <c r="F178" s="41"/>
      <c r="G178" s="202"/>
      <c r="H178" s="202"/>
      <c r="I178" s="41"/>
    </row>
    <row r="179" spans="1:9" ht="16.5" thickBot="1">
      <c r="A179" s="41"/>
      <c r="B179" s="41"/>
      <c r="C179" s="41"/>
      <c r="D179" s="41"/>
      <c r="E179" s="41"/>
      <c r="F179" s="41"/>
      <c r="G179" s="202"/>
      <c r="H179" s="202"/>
      <c r="I179" s="41"/>
    </row>
    <row r="180" spans="1:9" ht="16.5" thickBot="1">
      <c r="A180" s="255" t="s">
        <v>112</v>
      </c>
      <c r="B180" s="256"/>
      <c r="C180" s="256"/>
      <c r="D180" s="257"/>
      <c r="E180" s="41"/>
      <c r="F180" s="41"/>
      <c r="G180" s="202"/>
      <c r="H180" s="202"/>
      <c r="I180" s="41"/>
    </row>
    <row r="181" spans="1:9" ht="16.5" thickBot="1">
      <c r="A181" s="58" t="s">
        <v>37</v>
      </c>
      <c r="B181" s="59" t="s">
        <v>38</v>
      </c>
      <c r="C181" s="59" t="s">
        <v>39</v>
      </c>
      <c r="D181" s="60" t="s">
        <v>40</v>
      </c>
      <c r="E181" s="41"/>
      <c r="F181" s="41"/>
      <c r="G181" s="202"/>
      <c r="H181" s="202"/>
      <c r="I181" s="41"/>
    </row>
    <row r="182" spans="1:9" ht="15.75">
      <c r="A182" s="133" t="s">
        <v>35</v>
      </c>
      <c r="B182" s="50">
        <f>D174+D178</f>
        <v>288.39384826566669</v>
      </c>
      <c r="C182" s="189">
        <f>$B$164</f>
        <v>4.1666666666666666E-3</v>
      </c>
      <c r="D182" s="52">
        <f>B182*C182</f>
        <v>1.2016410344402779</v>
      </c>
      <c r="E182" s="41"/>
      <c r="F182" s="41"/>
      <c r="G182" s="202"/>
      <c r="H182" s="202"/>
      <c r="I182" s="41"/>
    </row>
    <row r="183" spans="1:9" ht="15.75">
      <c r="A183" s="41"/>
      <c r="B183" s="41"/>
      <c r="C183" s="41"/>
      <c r="D183" s="41"/>
      <c r="E183" s="41"/>
      <c r="F183" s="41"/>
      <c r="G183" s="202"/>
      <c r="H183" s="202"/>
      <c r="I183" s="41"/>
    </row>
    <row r="184" spans="1:9" ht="15.75">
      <c r="A184" s="254" t="s">
        <v>113</v>
      </c>
      <c r="B184" s="254"/>
      <c r="C184" s="254"/>
      <c r="D184" s="254"/>
      <c r="E184" s="254"/>
      <c r="F184" s="254"/>
      <c r="G184" s="254"/>
      <c r="H184" s="254"/>
      <c r="I184" s="254"/>
    </row>
    <row r="185" spans="1:9" ht="16.5" thickBot="1">
      <c r="A185" s="41"/>
      <c r="B185" s="41"/>
      <c r="C185" s="41"/>
      <c r="D185" s="41"/>
      <c r="E185" s="41"/>
      <c r="F185" s="303" t="s">
        <v>407</v>
      </c>
      <c r="G185" s="303"/>
      <c r="H185" s="303"/>
      <c r="I185" s="303"/>
    </row>
    <row r="186" spans="1:9" ht="16.5" thickBot="1">
      <c r="A186" s="255" t="s">
        <v>114</v>
      </c>
      <c r="B186" s="256"/>
      <c r="C186" s="256"/>
      <c r="D186" s="257"/>
      <c r="E186" s="41"/>
      <c r="F186" s="303"/>
      <c r="G186" s="303"/>
      <c r="H186" s="303"/>
      <c r="I186" s="303"/>
    </row>
    <row r="187" spans="1:9" ht="16.5" thickBot="1">
      <c r="A187" s="58" t="s">
        <v>37</v>
      </c>
      <c r="B187" s="59" t="s">
        <v>38</v>
      </c>
      <c r="C187" s="59" t="s">
        <v>109</v>
      </c>
      <c r="D187" s="60" t="s">
        <v>40</v>
      </c>
      <c r="E187" s="41"/>
      <c r="F187" s="303"/>
      <c r="G187" s="303"/>
      <c r="H187" s="303"/>
      <c r="I187" s="303"/>
    </row>
    <row r="188" spans="1:9" ht="15.75">
      <c r="A188" s="133" t="s">
        <v>35</v>
      </c>
      <c r="B188" s="50">
        <f>I47+E157</f>
        <v>3282.9998723560002</v>
      </c>
      <c r="C188" s="56">
        <v>12</v>
      </c>
      <c r="D188" s="52">
        <f>B188/C188</f>
        <v>273.58332269633337</v>
      </c>
      <c r="E188" s="41"/>
      <c r="F188" s="303"/>
      <c r="G188" s="303"/>
      <c r="H188" s="303"/>
      <c r="I188" s="303"/>
    </row>
    <row r="189" spans="1:9" ht="16.5" thickBot="1">
      <c r="A189" s="41"/>
      <c r="B189" s="41"/>
      <c r="C189" s="41"/>
      <c r="D189" s="41"/>
      <c r="E189" s="41"/>
      <c r="F189" s="303"/>
      <c r="G189" s="303"/>
      <c r="H189" s="303"/>
      <c r="I189" s="303"/>
    </row>
    <row r="190" spans="1:9" ht="16.5" thickBot="1">
      <c r="A190" s="258" t="s">
        <v>115</v>
      </c>
      <c r="B190" s="259"/>
      <c r="C190" s="259"/>
      <c r="D190" s="260"/>
      <c r="E190" s="41"/>
      <c r="F190" s="303"/>
      <c r="G190" s="303"/>
      <c r="H190" s="303"/>
      <c r="I190" s="303"/>
    </row>
    <row r="191" spans="1:9" ht="32.25" thickBot="1">
      <c r="A191" s="58" t="s">
        <v>37</v>
      </c>
      <c r="B191" s="59" t="s">
        <v>38</v>
      </c>
      <c r="C191" s="78" t="s">
        <v>111</v>
      </c>
      <c r="D191" s="60" t="s">
        <v>40</v>
      </c>
      <c r="E191" s="41"/>
      <c r="F191" s="303"/>
      <c r="G191" s="303"/>
      <c r="H191" s="303"/>
      <c r="I191" s="303"/>
    </row>
    <row r="192" spans="1:9" ht="15.75">
      <c r="A192" s="133" t="s">
        <v>35</v>
      </c>
      <c r="B192" s="50">
        <f>D89</f>
        <v>148.10525569333333</v>
      </c>
      <c r="C192" s="51">
        <v>0.4</v>
      </c>
      <c r="D192" s="52">
        <f>B192*C192</f>
        <v>59.242102277333338</v>
      </c>
      <c r="E192" s="41"/>
      <c r="F192" s="303"/>
      <c r="G192" s="303"/>
      <c r="H192" s="303"/>
      <c r="I192" s="303"/>
    </row>
    <row r="193" spans="1:9" ht="16.5" thickBot="1">
      <c r="A193" s="41"/>
      <c r="B193" s="41"/>
      <c r="C193" s="41"/>
      <c r="D193" s="41"/>
      <c r="E193" s="41"/>
      <c r="F193" s="303"/>
      <c r="G193" s="303"/>
      <c r="H193" s="303"/>
      <c r="I193" s="303"/>
    </row>
    <row r="194" spans="1:9" ht="16.5" thickBot="1">
      <c r="A194" s="255" t="s">
        <v>116</v>
      </c>
      <c r="B194" s="256"/>
      <c r="C194" s="256"/>
      <c r="D194" s="257"/>
      <c r="E194" s="41"/>
      <c r="F194" s="303"/>
      <c r="G194" s="303"/>
      <c r="H194" s="303"/>
      <c r="I194" s="303"/>
    </row>
    <row r="195" spans="1:9" ht="16.5" thickBot="1">
      <c r="A195" s="58" t="s">
        <v>37</v>
      </c>
      <c r="B195" s="59" t="s">
        <v>38</v>
      </c>
      <c r="C195" s="59" t="s">
        <v>39</v>
      </c>
      <c r="D195" s="60" t="s">
        <v>40</v>
      </c>
      <c r="E195" s="41"/>
      <c r="F195" s="303"/>
      <c r="G195" s="303"/>
      <c r="H195" s="303"/>
      <c r="I195" s="303"/>
    </row>
    <row r="196" spans="1:9" ht="15.75">
      <c r="A196" s="133" t="s">
        <v>35</v>
      </c>
      <c r="B196" s="50">
        <f>D188+D192</f>
        <v>332.82542497366671</v>
      </c>
      <c r="C196" s="189">
        <f>$B$165</f>
        <v>1.9444444444444445E-2</v>
      </c>
      <c r="D196" s="52">
        <f>B196*C196</f>
        <v>6.471605485599075</v>
      </c>
      <c r="E196" s="41"/>
      <c r="F196" s="303"/>
      <c r="G196" s="303"/>
      <c r="H196" s="303"/>
      <c r="I196" s="303"/>
    </row>
    <row r="197" spans="1:9" ht="63" customHeight="1">
      <c r="A197" s="41"/>
      <c r="B197" s="41"/>
      <c r="C197" s="41"/>
      <c r="D197" s="41"/>
      <c r="E197" s="41"/>
      <c r="F197" s="303"/>
      <c r="G197" s="303"/>
      <c r="H197" s="303"/>
      <c r="I197" s="303"/>
    </row>
    <row r="198" spans="1:9" ht="15.75">
      <c r="A198" s="254" t="s">
        <v>117</v>
      </c>
      <c r="B198" s="254"/>
      <c r="C198" s="254"/>
      <c r="D198" s="254"/>
      <c r="E198" s="254"/>
      <c r="F198" s="254"/>
      <c r="G198" s="254"/>
      <c r="H198" s="254"/>
      <c r="I198" s="254"/>
    </row>
    <row r="199" spans="1:9" ht="16.5" thickBot="1">
      <c r="A199" s="41"/>
      <c r="B199" s="41"/>
      <c r="C199" s="41"/>
      <c r="D199" s="41"/>
      <c r="E199" s="41"/>
      <c r="F199" s="41"/>
      <c r="G199" s="202"/>
      <c r="H199" s="202"/>
      <c r="I199" s="41"/>
    </row>
    <row r="200" spans="1:9" ht="16.5" thickBot="1">
      <c r="A200" s="255" t="s">
        <v>118</v>
      </c>
      <c r="B200" s="256"/>
      <c r="C200" s="256"/>
      <c r="D200" s="256"/>
      <c r="E200" s="257"/>
      <c r="F200" s="41"/>
      <c r="G200" s="202"/>
      <c r="H200" s="202"/>
      <c r="I200" s="41"/>
    </row>
    <row r="201" spans="1:9" ht="63.75" thickBot="1">
      <c r="A201" s="58" t="s">
        <v>37</v>
      </c>
      <c r="B201" s="62" t="s">
        <v>119</v>
      </c>
      <c r="C201" s="62" t="s">
        <v>120</v>
      </c>
      <c r="D201" s="62" t="s">
        <v>121</v>
      </c>
      <c r="E201" s="60" t="s">
        <v>40</v>
      </c>
      <c r="F201" s="41"/>
      <c r="G201" s="202"/>
      <c r="H201" s="202"/>
      <c r="I201" s="41"/>
    </row>
    <row r="202" spans="1:9" ht="15.75">
      <c r="A202" s="133" t="s">
        <v>35</v>
      </c>
      <c r="B202" s="79">
        <f>-D63</f>
        <v>-129.16666666666666</v>
      </c>
      <c r="C202" s="79">
        <f>-E59</f>
        <v>-43.034029500000003</v>
      </c>
      <c r="D202" s="79">
        <f>-D55</f>
        <v>-129.11500000000001</v>
      </c>
      <c r="E202" s="80">
        <f>SUM(B202:D202)</f>
        <v>-301.31569616666667</v>
      </c>
      <c r="F202" s="41"/>
      <c r="G202" s="202"/>
      <c r="H202" s="202"/>
      <c r="I202" s="41"/>
    </row>
    <row r="203" spans="1:9" ht="16.5" thickBot="1">
      <c r="A203" s="41"/>
      <c r="B203" s="41"/>
      <c r="C203" s="41"/>
      <c r="D203" s="41"/>
      <c r="E203" s="41"/>
      <c r="F203" s="41"/>
      <c r="G203" s="202"/>
      <c r="H203" s="202"/>
      <c r="I203" s="41"/>
    </row>
    <row r="204" spans="1:9" ht="16.5" thickBot="1">
      <c r="A204" s="255" t="s">
        <v>122</v>
      </c>
      <c r="B204" s="256"/>
      <c r="C204" s="256"/>
      <c r="D204" s="257"/>
      <c r="E204" s="41"/>
      <c r="F204" s="41"/>
      <c r="G204" s="202"/>
      <c r="H204" s="202"/>
      <c r="I204" s="41"/>
    </row>
    <row r="205" spans="1:9" ht="16.5" thickBot="1">
      <c r="A205" s="58" t="s">
        <v>37</v>
      </c>
      <c r="B205" s="59" t="s">
        <v>123</v>
      </c>
      <c r="C205" s="59" t="s">
        <v>39</v>
      </c>
      <c r="D205" s="60" t="s">
        <v>40</v>
      </c>
      <c r="E205" s="41"/>
      <c r="F205" s="41"/>
      <c r="G205" s="202"/>
      <c r="H205" s="202"/>
      <c r="I205" s="41"/>
    </row>
    <row r="206" spans="1:9" ht="15.75">
      <c r="A206" s="133" t="s">
        <v>35</v>
      </c>
      <c r="B206" s="79">
        <f>E202</f>
        <v>-301.31569616666667</v>
      </c>
      <c r="C206" s="61">
        <f>B166</f>
        <v>1.7399999999999999E-2</v>
      </c>
      <c r="D206" s="80">
        <f>B206*C206</f>
        <v>-5.2428931133000001</v>
      </c>
      <c r="E206" s="41"/>
      <c r="F206" s="41"/>
      <c r="G206" s="202"/>
      <c r="H206" s="202"/>
      <c r="I206" s="41"/>
    </row>
    <row r="207" spans="1:9" ht="15.75">
      <c r="A207" s="41"/>
      <c r="B207" s="41"/>
      <c r="C207" s="41"/>
      <c r="D207" s="41"/>
      <c r="E207" s="41"/>
      <c r="F207" s="41"/>
      <c r="G207" s="202"/>
      <c r="H207" s="202"/>
      <c r="I207" s="41"/>
    </row>
    <row r="208" spans="1:9" ht="15.75">
      <c r="A208" s="254" t="s">
        <v>98</v>
      </c>
      <c r="B208" s="254"/>
      <c r="C208" s="254"/>
      <c r="D208" s="254"/>
      <c r="E208" s="254"/>
      <c r="F208" s="254"/>
      <c r="G208" s="254"/>
      <c r="H208" s="254"/>
      <c r="I208" s="254"/>
    </row>
    <row r="209" spans="1:9" ht="16.5" thickBot="1">
      <c r="A209" s="41"/>
      <c r="B209" s="41"/>
      <c r="C209" s="41"/>
      <c r="D209" s="41"/>
      <c r="E209" s="41"/>
      <c r="F209" s="41"/>
      <c r="G209" s="202"/>
      <c r="H209" s="202"/>
      <c r="I209" s="41"/>
    </row>
    <row r="210" spans="1:9" ht="16.5" thickBot="1">
      <c r="A210" s="255" t="s">
        <v>98</v>
      </c>
      <c r="B210" s="256"/>
      <c r="C210" s="256"/>
      <c r="D210" s="256"/>
      <c r="E210" s="257"/>
      <c r="F210" s="41"/>
      <c r="G210" s="202"/>
      <c r="H210" s="202"/>
      <c r="I210" s="41"/>
    </row>
    <row r="211" spans="1:9" ht="16.5" thickBot="1">
      <c r="A211" s="58" t="s">
        <v>37</v>
      </c>
      <c r="B211" s="59" t="s">
        <v>124</v>
      </c>
      <c r="C211" s="59" t="s">
        <v>125</v>
      </c>
      <c r="D211" s="59" t="s">
        <v>126</v>
      </c>
      <c r="E211" s="60" t="s">
        <v>44</v>
      </c>
      <c r="F211" s="41"/>
      <c r="G211" s="202"/>
      <c r="H211" s="202"/>
      <c r="I211" s="41"/>
    </row>
    <row r="212" spans="1:9" ht="15.75">
      <c r="A212" s="133" t="s">
        <v>35</v>
      </c>
      <c r="B212" s="50">
        <f>D182</f>
        <v>1.2016410344402779</v>
      </c>
      <c r="C212" s="50">
        <f>D196</f>
        <v>6.471605485599075</v>
      </c>
      <c r="D212" s="79">
        <f>D206</f>
        <v>-5.2428931133000001</v>
      </c>
      <c r="E212" s="52">
        <f>SUM(B212:D212)</f>
        <v>2.4303534067393526</v>
      </c>
      <c r="F212" s="41"/>
      <c r="G212" s="202"/>
      <c r="H212" s="202"/>
      <c r="I212" s="41"/>
    </row>
    <row r="213" spans="1:9" ht="15.75">
      <c r="A213" s="41"/>
      <c r="B213" s="41"/>
      <c r="C213" s="41"/>
      <c r="D213" s="41"/>
      <c r="E213" s="41"/>
      <c r="F213" s="41"/>
      <c r="G213" s="202"/>
      <c r="H213" s="202"/>
      <c r="I213" s="41"/>
    </row>
    <row r="214" spans="1:9" ht="15.75">
      <c r="A214" s="254" t="s">
        <v>127</v>
      </c>
      <c r="B214" s="254"/>
      <c r="C214" s="254"/>
      <c r="D214" s="254"/>
      <c r="E214" s="254"/>
      <c r="F214" s="254"/>
      <c r="G214" s="254"/>
      <c r="H214" s="254"/>
      <c r="I214" s="254"/>
    </row>
    <row r="215" spans="1:9" ht="16.5" thickBot="1">
      <c r="A215" s="41"/>
      <c r="B215" s="41"/>
      <c r="C215" s="41"/>
      <c r="D215" s="41"/>
      <c r="E215" s="41"/>
      <c r="F215" s="41"/>
      <c r="G215" s="202"/>
      <c r="H215" s="202"/>
      <c r="I215" s="41"/>
    </row>
    <row r="216" spans="1:9" ht="16.5" thickBot="1">
      <c r="A216" s="258" t="s">
        <v>128</v>
      </c>
      <c r="B216" s="259"/>
      <c r="C216" s="259"/>
      <c r="D216" s="259"/>
      <c r="E216" s="260"/>
    </row>
    <row r="217" spans="1:9" ht="16.149999999999999" customHeight="1" thickBot="1">
      <c r="A217" s="258" t="s">
        <v>129</v>
      </c>
      <c r="B217" s="259"/>
      <c r="C217" s="259"/>
      <c r="D217" s="259"/>
      <c r="E217" s="260"/>
    </row>
    <row r="218" spans="1:9" ht="16.5" thickBot="1">
      <c r="A218" s="299" t="s">
        <v>37</v>
      </c>
      <c r="B218" s="299" t="s">
        <v>130</v>
      </c>
      <c r="C218" s="299" t="s">
        <v>131</v>
      </c>
      <c r="D218" s="258" t="s">
        <v>132</v>
      </c>
      <c r="E218" s="260"/>
    </row>
    <row r="219" spans="1:9" ht="32.25" thickBot="1">
      <c r="A219" s="300"/>
      <c r="B219" s="300"/>
      <c r="C219" s="300"/>
      <c r="D219" s="81" t="s">
        <v>133</v>
      </c>
      <c r="E219" s="81" t="s">
        <v>134</v>
      </c>
    </row>
    <row r="220" spans="1:9" ht="16.5" thickBot="1">
      <c r="A220" s="82" t="s">
        <v>135</v>
      </c>
      <c r="B220" s="83">
        <v>1</v>
      </c>
      <c r="C220" s="84">
        <v>30</v>
      </c>
      <c r="D220" s="86">
        <f>(252/365)</f>
        <v>0.69041095890410964</v>
      </c>
      <c r="E220" s="85">
        <f>(B220*C220)*D220</f>
        <v>20.712328767123289</v>
      </c>
    </row>
    <row r="221" spans="1:9" ht="16.5" thickBot="1">
      <c r="A221" s="72" t="s">
        <v>136</v>
      </c>
      <c r="B221" s="87">
        <v>1</v>
      </c>
      <c r="C221" s="88">
        <v>1</v>
      </c>
      <c r="D221" s="89">
        <v>1</v>
      </c>
      <c r="E221" s="85">
        <f t="shared" ref="E221:E231" si="0">(B221*C221)*D221</f>
        <v>1</v>
      </c>
    </row>
    <row r="222" spans="1:9" ht="16.5" thickBot="1">
      <c r="A222" s="72" t="s">
        <v>137</v>
      </c>
      <c r="B222" s="87">
        <v>9.2200000000000004E-2</v>
      </c>
      <c r="C222" s="88">
        <v>15</v>
      </c>
      <c r="D222" s="89">
        <f>(252/365)</f>
        <v>0.69041095890410964</v>
      </c>
      <c r="E222" s="85">
        <f t="shared" si="0"/>
        <v>0.95483835616438362</v>
      </c>
    </row>
    <row r="223" spans="1:9" ht="16.5" thickBot="1">
      <c r="A223" s="72" t="s">
        <v>138</v>
      </c>
      <c r="B223" s="87">
        <v>1</v>
      </c>
      <c r="C223" s="88">
        <v>5</v>
      </c>
      <c r="D223" s="89">
        <f>(252/365)</f>
        <v>0.69041095890410964</v>
      </c>
      <c r="E223" s="85">
        <f t="shared" si="0"/>
        <v>3.4520547945205484</v>
      </c>
    </row>
    <row r="224" spans="1:9" ht="16.5" thickBot="1">
      <c r="A224" s="72" t="s">
        <v>139</v>
      </c>
      <c r="B224" s="87">
        <v>0.1522</v>
      </c>
      <c r="C224" s="88">
        <v>2</v>
      </c>
      <c r="D224" s="89">
        <v>1</v>
      </c>
      <c r="E224" s="85">
        <f t="shared" si="0"/>
        <v>0.3044</v>
      </c>
    </row>
    <row r="225" spans="1:9" ht="16.5" thickBot="1">
      <c r="A225" s="72" t="s">
        <v>140</v>
      </c>
      <c r="B225" s="87">
        <v>3.09E-2</v>
      </c>
      <c r="C225" s="88">
        <v>2</v>
      </c>
      <c r="D225" s="89">
        <f>(252/365)</f>
        <v>0.69041095890410964</v>
      </c>
      <c r="E225" s="85">
        <f t="shared" si="0"/>
        <v>4.2667397260273979E-2</v>
      </c>
    </row>
    <row r="226" spans="1:9" ht="16.5" thickBot="1">
      <c r="A226" s="72" t="s">
        <v>141</v>
      </c>
      <c r="B226" s="87">
        <v>1.23E-2</v>
      </c>
      <c r="C226" s="88">
        <v>3</v>
      </c>
      <c r="D226" s="89">
        <v>1</v>
      </c>
      <c r="E226" s="85">
        <f t="shared" si="0"/>
        <v>3.6900000000000002E-2</v>
      </c>
    </row>
    <row r="227" spans="1:9" ht="16.5" thickBot="1">
      <c r="A227" s="72" t="s">
        <v>142</v>
      </c>
      <c r="B227" s="87">
        <v>0.02</v>
      </c>
      <c r="C227" s="88">
        <v>1</v>
      </c>
      <c r="D227" s="89">
        <v>1</v>
      </c>
      <c r="E227" s="85">
        <f t="shared" si="0"/>
        <v>0.02</v>
      </c>
    </row>
    <row r="228" spans="1:9" ht="16.5" thickBot="1">
      <c r="A228" s="72" t="s">
        <v>143</v>
      </c>
      <c r="B228" s="87">
        <v>4.0000000000000001E-3</v>
      </c>
      <c r="C228" s="88">
        <v>1</v>
      </c>
      <c r="D228" s="89">
        <v>1</v>
      </c>
      <c r="E228" s="85">
        <f t="shared" si="0"/>
        <v>4.0000000000000001E-3</v>
      </c>
    </row>
    <row r="229" spans="1:9" ht="16.5" thickBot="1">
      <c r="A229" s="72" t="s">
        <v>144</v>
      </c>
      <c r="B229" s="87">
        <v>3.2099999999999997E-2</v>
      </c>
      <c r="C229" s="88">
        <v>20</v>
      </c>
      <c r="D229" s="89">
        <f>(252/365)</f>
        <v>0.69041095890410964</v>
      </c>
      <c r="E229" s="85">
        <f t="shared" si="0"/>
        <v>0.44324383561643832</v>
      </c>
    </row>
    <row r="230" spans="1:9" ht="16.5" thickBot="1">
      <c r="A230" s="72" t="s">
        <v>145</v>
      </c>
      <c r="B230" s="87">
        <v>2.8E-3</v>
      </c>
      <c r="C230" s="88">
        <v>180</v>
      </c>
      <c r="D230" s="89">
        <f>(252/365)</f>
        <v>0.69041095890410964</v>
      </c>
      <c r="E230" s="85">
        <f t="shared" si="0"/>
        <v>0.34796712328767126</v>
      </c>
    </row>
    <row r="231" spans="1:9" ht="16.5" thickBot="1">
      <c r="A231" s="90" t="s">
        <v>146</v>
      </c>
      <c r="B231" s="91">
        <v>2.0000000000000001E-4</v>
      </c>
      <c r="C231" s="92">
        <v>6</v>
      </c>
      <c r="D231" s="93">
        <v>1</v>
      </c>
      <c r="E231" s="134">
        <f t="shared" si="0"/>
        <v>1.2000000000000001E-3</v>
      </c>
    </row>
    <row r="232" spans="1:9" ht="16.5" thickBot="1">
      <c r="A232" s="296" t="s">
        <v>147</v>
      </c>
      <c r="B232" s="297"/>
      <c r="C232" s="297"/>
      <c r="D232" s="298"/>
      <c r="E232" s="135">
        <f>SUM(E220:E231)</f>
        <v>27.319600273972608</v>
      </c>
      <c r="F232" s="41"/>
      <c r="G232" s="202"/>
      <c r="H232" s="202"/>
      <c r="I232" s="41"/>
    </row>
    <row r="233" spans="1:9" ht="15.75">
      <c r="A233" s="41"/>
      <c r="B233" s="41"/>
      <c r="C233" s="41"/>
      <c r="D233" s="41"/>
      <c r="E233" s="41"/>
      <c r="F233" s="41"/>
      <c r="G233" s="202"/>
      <c r="H233" s="202"/>
      <c r="I233" s="41"/>
    </row>
    <row r="234" spans="1:9" ht="15.75">
      <c r="A234" s="254" t="s">
        <v>148</v>
      </c>
      <c r="B234" s="254"/>
      <c r="C234" s="254"/>
      <c r="D234" s="254"/>
      <c r="E234" s="254"/>
      <c r="F234" s="254"/>
      <c r="G234" s="254"/>
      <c r="H234" s="254"/>
      <c r="I234" s="254"/>
    </row>
    <row r="235" spans="1:9" ht="16.5" thickBot="1">
      <c r="A235" s="41"/>
      <c r="B235" s="41"/>
      <c r="C235" s="41"/>
      <c r="D235" s="41"/>
      <c r="E235" s="41"/>
      <c r="F235" s="41"/>
      <c r="G235" s="202"/>
      <c r="H235" s="202"/>
      <c r="I235" s="41"/>
    </row>
    <row r="236" spans="1:9" ht="16.5" thickBot="1">
      <c r="A236" s="255" t="s">
        <v>149</v>
      </c>
      <c r="B236" s="256"/>
      <c r="C236" s="256"/>
      <c r="D236" s="257"/>
      <c r="E236" s="41"/>
      <c r="F236" s="41"/>
      <c r="G236" s="202"/>
      <c r="H236" s="202"/>
      <c r="I236" s="41"/>
    </row>
    <row r="237" spans="1:9" ht="16.5" thickBot="1">
      <c r="A237" s="58" t="s">
        <v>37</v>
      </c>
      <c r="B237" s="59" t="s">
        <v>38</v>
      </c>
      <c r="C237" s="59" t="s">
        <v>150</v>
      </c>
      <c r="D237" s="60" t="s">
        <v>151</v>
      </c>
      <c r="E237" s="41"/>
      <c r="F237" s="41"/>
      <c r="G237" s="202"/>
      <c r="H237" s="202"/>
      <c r="I237" s="41"/>
    </row>
    <row r="238" spans="1:9" ht="15.75">
      <c r="A238" s="133" t="s">
        <v>35</v>
      </c>
      <c r="B238" s="50">
        <f>I47+E157+E212</f>
        <v>3285.4302257627396</v>
      </c>
      <c r="C238" s="68">
        <v>30</v>
      </c>
      <c r="D238" s="52">
        <f>B238/C238</f>
        <v>109.51434085875799</v>
      </c>
      <c r="E238" s="41"/>
      <c r="F238" s="41"/>
      <c r="G238" s="202"/>
      <c r="H238" s="202"/>
      <c r="I238" s="41"/>
    </row>
    <row r="239" spans="1:9" ht="16.5" thickBot="1">
      <c r="A239" s="41"/>
      <c r="B239" s="41"/>
      <c r="C239" s="41"/>
      <c r="D239" s="41"/>
      <c r="E239" s="41"/>
      <c r="F239" s="41"/>
      <c r="G239" s="202"/>
      <c r="H239" s="202"/>
      <c r="I239" s="41"/>
    </row>
    <row r="240" spans="1:9" ht="16.5" thickBot="1">
      <c r="A240" s="296" t="s">
        <v>148</v>
      </c>
      <c r="B240" s="297"/>
      <c r="C240" s="297"/>
      <c r="D240" s="297"/>
      <c r="E240" s="298"/>
      <c r="F240" s="41"/>
      <c r="G240" s="202"/>
      <c r="H240" s="202"/>
      <c r="I240" s="41"/>
    </row>
    <row r="241" spans="1:9" ht="32.25" thickBot="1">
      <c r="A241" s="58" t="s">
        <v>37</v>
      </c>
      <c r="B241" s="59" t="s">
        <v>151</v>
      </c>
      <c r="C241" s="62" t="s">
        <v>152</v>
      </c>
      <c r="D241" s="59" t="s">
        <v>153</v>
      </c>
      <c r="E241" s="60" t="s">
        <v>154</v>
      </c>
      <c r="F241" s="41"/>
      <c r="G241" s="202"/>
      <c r="H241" s="202"/>
      <c r="I241" s="41"/>
    </row>
    <row r="242" spans="1:9" ht="15.75">
      <c r="A242" s="133" t="s">
        <v>35</v>
      </c>
      <c r="B242" s="50">
        <f>D238</f>
        <v>109.51434085875799</v>
      </c>
      <c r="C242" s="95">
        <f>E232</f>
        <v>27.319600273972608</v>
      </c>
      <c r="D242" s="50">
        <f>B242*C242</f>
        <v>2991.8880165288542</v>
      </c>
      <c r="E242" s="52">
        <f>D242/12</f>
        <v>249.32400137740453</v>
      </c>
      <c r="F242" s="41"/>
      <c r="G242" s="202"/>
      <c r="H242" s="202"/>
      <c r="I242" s="41"/>
    </row>
    <row r="243" spans="1:9" ht="15.75">
      <c r="A243" s="41"/>
      <c r="B243" s="41"/>
      <c r="C243" s="41"/>
      <c r="D243" s="41"/>
      <c r="E243" s="41"/>
      <c r="F243" s="41"/>
      <c r="G243" s="202"/>
      <c r="H243" s="202"/>
      <c r="I243" s="41"/>
    </row>
    <row r="244" spans="1:9" ht="15.75">
      <c r="A244" s="41"/>
      <c r="B244" s="41"/>
      <c r="C244" s="41"/>
      <c r="D244" s="41"/>
      <c r="E244" s="41"/>
      <c r="F244" s="41"/>
      <c r="G244" s="202"/>
      <c r="H244" s="202"/>
      <c r="I244" s="41"/>
    </row>
    <row r="245" spans="1:9" ht="15.75">
      <c r="A245" s="254" t="s">
        <v>127</v>
      </c>
      <c r="B245" s="254"/>
      <c r="C245" s="254"/>
      <c r="D245" s="254"/>
      <c r="E245" s="254"/>
      <c r="F245" s="254"/>
      <c r="G245" s="254"/>
      <c r="H245" s="254"/>
      <c r="I245" s="254"/>
    </row>
    <row r="246" spans="1:9" ht="16.5" thickBot="1">
      <c r="A246" s="41"/>
      <c r="B246" s="41"/>
      <c r="C246" s="41"/>
      <c r="D246" s="41"/>
      <c r="E246" s="41"/>
      <c r="F246" s="41"/>
      <c r="G246" s="202"/>
      <c r="H246" s="202"/>
      <c r="I246" s="41"/>
    </row>
    <row r="247" spans="1:9" ht="16.5" thickBot="1">
      <c r="A247" s="255" t="s">
        <v>127</v>
      </c>
      <c r="B247" s="256"/>
      <c r="C247" s="256"/>
      <c r="D247" s="257"/>
      <c r="E247" s="41"/>
      <c r="F247" s="41"/>
      <c r="G247" s="202"/>
      <c r="H247" s="202"/>
      <c r="I247" s="41"/>
    </row>
    <row r="248" spans="1:9" ht="16.5" thickBot="1">
      <c r="A248" s="58" t="s">
        <v>37</v>
      </c>
      <c r="B248" s="59" t="s">
        <v>155</v>
      </c>
      <c r="C248" s="59" t="s">
        <v>156</v>
      </c>
      <c r="D248" s="60" t="s">
        <v>44</v>
      </c>
      <c r="E248" s="41"/>
      <c r="F248" s="41"/>
      <c r="G248" s="202"/>
      <c r="H248" s="202"/>
      <c r="I248" s="41"/>
    </row>
    <row r="249" spans="1:9" ht="15.75">
      <c r="A249" s="133" t="s">
        <v>35</v>
      </c>
      <c r="B249" s="50">
        <f>E242</f>
        <v>249.32400137740453</v>
      </c>
      <c r="C249" s="50">
        <v>0</v>
      </c>
      <c r="D249" s="52">
        <f>SUM(B249:C249)</f>
        <v>249.32400137740453</v>
      </c>
      <c r="E249" s="41"/>
      <c r="F249" s="41"/>
      <c r="G249" s="202"/>
      <c r="H249" s="202"/>
      <c r="I249" s="41"/>
    </row>
    <row r="250" spans="1:9" ht="15.75">
      <c r="A250" s="41"/>
      <c r="B250" s="41"/>
      <c r="C250" s="41"/>
      <c r="D250" s="41"/>
      <c r="E250" s="41"/>
      <c r="F250" s="41"/>
      <c r="G250" s="202"/>
      <c r="H250" s="202"/>
      <c r="I250" s="41"/>
    </row>
    <row r="251" spans="1:9" ht="15.75">
      <c r="A251" s="254" t="s">
        <v>157</v>
      </c>
      <c r="B251" s="254"/>
      <c r="C251" s="254"/>
      <c r="D251" s="254"/>
      <c r="E251" s="254"/>
      <c r="F251" s="41"/>
      <c r="G251" s="202"/>
      <c r="H251" s="202"/>
      <c r="I251" s="41"/>
    </row>
    <row r="252" spans="1:9" ht="16.5" thickBot="1">
      <c r="A252" s="96"/>
      <c r="B252" s="96"/>
      <c r="C252" s="96"/>
      <c r="D252" s="96"/>
      <c r="E252" s="96"/>
      <c r="F252" s="41"/>
      <c r="G252" s="202"/>
      <c r="H252" s="202"/>
      <c r="I252" s="41"/>
    </row>
    <row r="253" spans="1:9" ht="16.5" thickBot="1">
      <c r="A253" s="293" t="s">
        <v>158</v>
      </c>
      <c r="B253" s="294"/>
      <c r="C253" s="294"/>
      <c r="D253" s="295"/>
      <c r="E253" s="97"/>
      <c r="F253" s="41"/>
      <c r="G253" s="202"/>
      <c r="H253" s="202"/>
      <c r="I253" s="41"/>
    </row>
    <row r="254" spans="1:9" ht="16.5" thickBot="1">
      <c r="A254" s="98" t="s">
        <v>159</v>
      </c>
      <c r="B254" s="99" t="s">
        <v>160</v>
      </c>
      <c r="C254" s="99" t="s">
        <v>161</v>
      </c>
      <c r="D254" s="100" t="s">
        <v>40</v>
      </c>
      <c r="E254" s="41"/>
      <c r="F254" s="41"/>
      <c r="G254" s="202"/>
      <c r="H254" s="202"/>
      <c r="I254" s="41"/>
    </row>
    <row r="255" spans="1:9" ht="63.75" thickBot="1">
      <c r="A255" s="145" t="s">
        <v>162</v>
      </c>
      <c r="B255" s="101">
        <v>2</v>
      </c>
      <c r="C255" s="356">
        <v>49.5</v>
      </c>
      <c r="D255" s="357">
        <f>B255*C255</f>
        <v>99</v>
      </c>
      <c r="E255" s="41"/>
      <c r="F255" s="41"/>
      <c r="G255" s="202"/>
      <c r="H255" s="202"/>
      <c r="I255" s="41"/>
    </row>
    <row r="256" spans="1:9" ht="78.75">
      <c r="A256" s="146" t="s">
        <v>163</v>
      </c>
      <c r="B256" s="102">
        <v>4</v>
      </c>
      <c r="C256" s="358">
        <v>17.399999999999999</v>
      </c>
      <c r="D256" s="357">
        <f t="shared" ref="D256:D259" si="1">B256*C256</f>
        <v>69.599999999999994</v>
      </c>
      <c r="E256" s="41"/>
      <c r="F256" s="41"/>
      <c r="G256" s="202"/>
      <c r="H256" s="202"/>
      <c r="I256" s="41"/>
    </row>
    <row r="257" spans="1:9" ht="48" thickBot="1">
      <c r="A257" s="146" t="s">
        <v>164</v>
      </c>
      <c r="B257" s="102">
        <v>4</v>
      </c>
      <c r="C257" s="358">
        <v>4.4400000000000004</v>
      </c>
      <c r="D257" s="357">
        <f t="shared" si="1"/>
        <v>17.760000000000002</v>
      </c>
      <c r="E257" s="41"/>
      <c r="F257" s="41"/>
      <c r="G257" s="202"/>
      <c r="H257" s="202"/>
      <c r="I257" s="41"/>
    </row>
    <row r="258" spans="1:9" ht="79.5" thickBot="1">
      <c r="A258" s="146" t="s">
        <v>165</v>
      </c>
      <c r="B258" s="102">
        <v>2</v>
      </c>
      <c r="C258" s="358">
        <v>38.5</v>
      </c>
      <c r="D258" s="357">
        <f t="shared" si="1"/>
        <v>77</v>
      </c>
      <c r="E258" s="41"/>
      <c r="F258" s="41"/>
      <c r="G258" s="202"/>
      <c r="H258" s="202"/>
      <c r="I258" s="41"/>
    </row>
    <row r="259" spans="1:9" ht="47.25">
      <c r="A259" s="146" t="s">
        <v>166</v>
      </c>
      <c r="B259" s="102">
        <v>1</v>
      </c>
      <c r="C259" s="358">
        <v>2.13</v>
      </c>
      <c r="D259" s="357">
        <f t="shared" si="1"/>
        <v>2.13</v>
      </c>
      <c r="E259" s="41"/>
      <c r="F259" s="41"/>
      <c r="G259" s="202"/>
      <c r="H259" s="202"/>
      <c r="I259" s="41"/>
    </row>
    <row r="260" spans="1:9" ht="16.5" thickBot="1">
      <c r="A260" s="282" t="s">
        <v>167</v>
      </c>
      <c r="B260" s="283"/>
      <c r="C260" s="283"/>
      <c r="D260" s="103">
        <f>SUM(D255:D259)</f>
        <v>265.49</v>
      </c>
      <c r="E260" s="41"/>
      <c r="F260" s="41"/>
      <c r="G260" s="202"/>
      <c r="H260" s="202"/>
      <c r="I260" s="41"/>
    </row>
    <row r="261" spans="1:9" ht="16.5" thickBot="1">
      <c r="A261" s="41"/>
      <c r="B261" s="104"/>
      <c r="C261" s="104"/>
      <c r="D261" s="104"/>
      <c r="E261" s="105"/>
      <c r="F261" s="41"/>
      <c r="G261" s="202"/>
      <c r="H261" s="202"/>
      <c r="I261" s="41"/>
    </row>
    <row r="262" spans="1:9" ht="16.5" thickBot="1">
      <c r="A262" s="284" t="s">
        <v>168</v>
      </c>
      <c r="B262" s="285"/>
      <c r="C262" s="286"/>
      <c r="D262" s="106"/>
      <c r="E262" s="106"/>
      <c r="F262" s="41"/>
      <c r="G262" s="202"/>
      <c r="H262" s="202"/>
      <c r="I262" s="41"/>
    </row>
    <row r="263" spans="1:9" ht="16.5" thickBot="1">
      <c r="A263" s="98" t="s">
        <v>37</v>
      </c>
      <c r="B263" s="107" t="s">
        <v>153</v>
      </c>
      <c r="C263" s="108" t="s">
        <v>169</v>
      </c>
      <c r="D263" s="106"/>
      <c r="E263" s="106"/>
      <c r="F263" s="41"/>
      <c r="G263" s="202"/>
      <c r="H263" s="202"/>
      <c r="I263" s="41"/>
    </row>
    <row r="264" spans="1:9" ht="15.75">
      <c r="A264" s="133" t="s">
        <v>35</v>
      </c>
      <c r="B264" s="109">
        <f>D260</f>
        <v>265.49</v>
      </c>
      <c r="C264" s="110">
        <f>B264/12</f>
        <v>22.124166666666667</v>
      </c>
      <c r="D264" s="104"/>
      <c r="E264" s="41"/>
      <c r="F264" s="41"/>
      <c r="G264" s="202"/>
      <c r="H264" s="202"/>
      <c r="I264" s="41"/>
    </row>
    <row r="265" spans="1:9" ht="16.5" thickBot="1">
      <c r="A265" s="41"/>
      <c r="B265" s="104"/>
      <c r="C265" s="104"/>
      <c r="D265" s="104"/>
      <c r="E265" s="41"/>
      <c r="F265" s="41"/>
      <c r="G265" s="202"/>
      <c r="H265" s="202"/>
      <c r="I265" s="41"/>
    </row>
    <row r="266" spans="1:9" ht="16.5" thickBot="1">
      <c r="A266" s="287" t="s">
        <v>170</v>
      </c>
      <c r="B266" s="288"/>
      <c r="C266" s="288"/>
      <c r="D266" s="289"/>
      <c r="E266" s="41"/>
      <c r="F266" s="41"/>
      <c r="G266" s="202"/>
      <c r="H266" s="202"/>
      <c r="I266" s="41"/>
    </row>
    <row r="267" spans="1:9" ht="32.25" thickBot="1">
      <c r="A267" s="111" t="s">
        <v>37</v>
      </c>
      <c r="B267" s="112" t="s">
        <v>153</v>
      </c>
      <c r="C267" s="112" t="s">
        <v>154</v>
      </c>
      <c r="D267" s="113" t="s">
        <v>171</v>
      </c>
      <c r="E267" s="41"/>
      <c r="F267" s="41"/>
      <c r="G267" s="202"/>
      <c r="H267" s="202"/>
      <c r="I267" s="41"/>
    </row>
    <row r="268" spans="1:9" ht="15.75">
      <c r="A268" s="133" t="s">
        <v>35</v>
      </c>
      <c r="B268" s="109">
        <f>Materiais!G81</f>
        <v>175809.66999999995</v>
      </c>
      <c r="C268" s="109">
        <f>Materiais!G82</f>
        <v>14650.80583333333</v>
      </c>
      <c r="D268" s="114">
        <f>Materiais!G83</f>
        <v>610.45024305555546</v>
      </c>
      <c r="E268" s="41"/>
      <c r="F268" s="41"/>
      <c r="G268" s="202"/>
      <c r="H268" s="202"/>
      <c r="I268" s="41"/>
    </row>
    <row r="269" spans="1:9" ht="16.5" thickBot="1">
      <c r="A269" s="41"/>
      <c r="B269" s="104"/>
      <c r="C269" s="104"/>
      <c r="D269" s="104"/>
      <c r="E269" s="41"/>
      <c r="F269" s="41"/>
      <c r="G269" s="202"/>
      <c r="H269" s="202"/>
      <c r="I269" s="41"/>
    </row>
    <row r="270" spans="1:9" ht="16.5" thickBot="1">
      <c r="A270" s="287" t="s">
        <v>172</v>
      </c>
      <c r="B270" s="288"/>
      <c r="C270" s="288"/>
      <c r="D270" s="289"/>
      <c r="E270" s="41"/>
      <c r="F270" s="41"/>
      <c r="G270" s="202"/>
      <c r="H270" s="202"/>
      <c r="I270" s="41"/>
    </row>
    <row r="271" spans="1:9" ht="32.25" thickBot="1">
      <c r="A271" s="111" t="s">
        <v>37</v>
      </c>
      <c r="B271" s="112" t="s">
        <v>153</v>
      </c>
      <c r="C271" s="112" t="s">
        <v>154</v>
      </c>
      <c r="D271" s="113" t="s">
        <v>171</v>
      </c>
      <c r="E271" s="41"/>
      <c r="F271" s="41"/>
      <c r="G271" s="202"/>
      <c r="H271" s="202"/>
      <c r="I271" s="41"/>
    </row>
    <row r="272" spans="1:9" ht="15.75">
      <c r="A272" s="133" t="s">
        <v>35</v>
      </c>
      <c r="B272" s="109">
        <f>Equipamentos!G14</f>
        <v>10112.34</v>
      </c>
      <c r="C272" s="109">
        <f>Equipamentos!G15</f>
        <v>842.69500000000005</v>
      </c>
      <c r="D272" s="114">
        <f>Equipamentos!G16</f>
        <v>35.112291666666671</v>
      </c>
      <c r="E272" s="41"/>
      <c r="F272" s="41"/>
      <c r="G272" s="202"/>
      <c r="H272" s="202"/>
      <c r="I272" s="41"/>
    </row>
    <row r="273" spans="1:9" ht="15.75">
      <c r="A273" s="41"/>
      <c r="B273" s="41"/>
      <c r="C273" s="41"/>
      <c r="D273" s="41"/>
      <c r="E273" s="41"/>
      <c r="F273" s="41"/>
      <c r="G273" s="202"/>
      <c r="H273" s="202"/>
      <c r="I273" s="41"/>
    </row>
    <row r="274" spans="1:9" ht="16.5" thickBot="1">
      <c r="A274" s="290" t="s">
        <v>173</v>
      </c>
      <c r="B274" s="291"/>
      <c r="C274" s="291"/>
      <c r="D274" s="291"/>
      <c r="E274" s="291"/>
      <c r="F274" s="41"/>
      <c r="G274" s="202"/>
      <c r="H274" s="202"/>
      <c r="I274" s="41"/>
    </row>
    <row r="275" spans="1:9" ht="16.5" thickBot="1">
      <c r="A275" s="111" t="s">
        <v>37</v>
      </c>
      <c r="B275" s="112" t="s">
        <v>174</v>
      </c>
      <c r="C275" s="112" t="s">
        <v>175</v>
      </c>
      <c r="D275" s="112" t="s">
        <v>176</v>
      </c>
      <c r="E275" s="115" t="s">
        <v>40</v>
      </c>
      <c r="F275" s="41"/>
      <c r="G275" s="202"/>
      <c r="H275" s="202"/>
      <c r="I275" s="41"/>
    </row>
    <row r="276" spans="1:9" ht="15.75">
      <c r="A276" s="133" t="s">
        <v>35</v>
      </c>
      <c r="B276" s="116">
        <f>C264</f>
        <v>22.124166666666667</v>
      </c>
      <c r="C276" s="116">
        <f>Materiais!G83</f>
        <v>610.45024305555546</v>
      </c>
      <c r="D276" s="116">
        <f>D272</f>
        <v>35.112291666666671</v>
      </c>
      <c r="E276" s="117">
        <f>SUM(B276:D276)</f>
        <v>667.68670138888876</v>
      </c>
      <c r="F276" s="41"/>
      <c r="G276" s="202"/>
      <c r="H276" s="202"/>
      <c r="I276" s="41"/>
    </row>
    <row r="277" spans="1:9" ht="15.75">
      <c r="A277" s="41"/>
      <c r="B277" s="41"/>
      <c r="C277" s="41"/>
      <c r="D277" s="41"/>
      <c r="E277" s="41"/>
      <c r="F277" s="41"/>
      <c r="G277" s="202"/>
      <c r="H277" s="202"/>
      <c r="I277" s="41"/>
    </row>
    <row r="278" spans="1:9" ht="15.75">
      <c r="A278" s="254" t="s">
        <v>177</v>
      </c>
      <c r="B278" s="254"/>
      <c r="C278" s="254"/>
      <c r="D278" s="254"/>
      <c r="E278" s="254"/>
      <c r="F278" s="254"/>
      <c r="G278" s="254"/>
      <c r="H278" s="254"/>
      <c r="I278" s="254"/>
    </row>
    <row r="279" spans="1:9" ht="16.5" thickBot="1">
      <c r="A279" s="41"/>
      <c r="B279" s="41"/>
      <c r="C279" s="41"/>
      <c r="D279" s="41"/>
      <c r="E279" s="41"/>
      <c r="F279" s="41"/>
      <c r="G279" s="202"/>
      <c r="H279" s="202"/>
      <c r="I279" s="41"/>
    </row>
    <row r="280" spans="1:9" ht="16.5" thickBot="1">
      <c r="A280" s="255" t="s">
        <v>177</v>
      </c>
      <c r="B280" s="256"/>
      <c r="C280" s="256"/>
      <c r="D280" s="257"/>
      <c r="E280" s="41"/>
      <c r="F280" s="41"/>
      <c r="G280" s="202"/>
      <c r="H280" s="202"/>
      <c r="I280" s="41"/>
    </row>
    <row r="281" spans="1:9" ht="16.5" thickBot="1">
      <c r="A281" s="58" t="s">
        <v>37</v>
      </c>
      <c r="B281" s="59" t="s">
        <v>38</v>
      </c>
      <c r="C281" s="59" t="s">
        <v>39</v>
      </c>
      <c r="D281" s="60" t="s">
        <v>40</v>
      </c>
      <c r="E281" s="41"/>
      <c r="F281" s="41"/>
      <c r="G281" s="202"/>
      <c r="H281" s="202"/>
      <c r="I281" s="41"/>
    </row>
    <row r="282" spans="1:9" ht="15.75">
      <c r="A282" s="133" t="s">
        <v>35</v>
      </c>
      <c r="B282" s="50">
        <f>I47+E157+E212+D249+D276</f>
        <v>3569.8665188068107</v>
      </c>
      <c r="C282" s="61">
        <f>(1+3%)/(1-14.25%-6.79%)-1</f>
        <v>0.3044579533941234</v>
      </c>
      <c r="D282" s="52">
        <f>B282*C282</f>
        <v>1086.8742542061254</v>
      </c>
      <c r="E282" s="41"/>
      <c r="F282" s="41"/>
      <c r="G282" s="202"/>
      <c r="H282" s="202"/>
      <c r="I282" s="41"/>
    </row>
    <row r="283" spans="1:9" ht="15.75">
      <c r="A283" s="41"/>
      <c r="B283" s="41"/>
      <c r="C283" s="41"/>
      <c r="D283" s="41"/>
      <c r="E283" s="41"/>
      <c r="F283" s="41"/>
      <c r="G283" s="202"/>
      <c r="H283" s="202"/>
      <c r="I283" s="41"/>
    </row>
    <row r="284" spans="1:9" ht="15.75">
      <c r="A284" s="41"/>
      <c r="B284" s="41"/>
      <c r="C284" s="41"/>
      <c r="D284" s="41"/>
      <c r="E284" s="41"/>
      <c r="F284" s="41"/>
      <c r="G284" s="202"/>
      <c r="H284" s="202"/>
      <c r="I284" s="41"/>
    </row>
    <row r="285" spans="1:9" ht="15.75">
      <c r="A285" s="254" t="s">
        <v>178</v>
      </c>
      <c r="B285" s="254"/>
      <c r="C285" s="254"/>
      <c r="D285" s="254"/>
      <c r="E285" s="254"/>
      <c r="F285" s="254"/>
      <c r="G285" s="254"/>
      <c r="H285" s="254"/>
      <c r="I285" s="254"/>
    </row>
    <row r="286" spans="1:9" ht="16.5" thickBot="1">
      <c r="A286" s="41"/>
      <c r="B286" s="41"/>
      <c r="C286" s="41"/>
      <c r="D286" s="41"/>
      <c r="E286" s="41"/>
      <c r="F286" s="41"/>
      <c r="G286" s="202"/>
      <c r="H286" s="202"/>
      <c r="I286" s="41"/>
    </row>
    <row r="287" spans="1:9" ht="16.5" thickBot="1">
      <c r="A287" s="267" t="s">
        <v>179</v>
      </c>
      <c r="B287" s="281"/>
      <c r="C287" s="41"/>
      <c r="D287" s="41"/>
      <c r="E287" s="41"/>
      <c r="F287" s="41"/>
      <c r="G287" s="202"/>
      <c r="H287" s="202"/>
      <c r="I287" s="41"/>
    </row>
    <row r="288" spans="1:9" ht="32.25" thickBot="1">
      <c r="A288" s="94" t="s">
        <v>180</v>
      </c>
      <c r="B288" s="57" t="s">
        <v>35</v>
      </c>
      <c r="C288" s="41"/>
      <c r="D288" s="41"/>
      <c r="E288" s="41"/>
      <c r="F288" s="41"/>
      <c r="G288" s="202"/>
      <c r="H288" s="202"/>
      <c r="I288" s="41"/>
    </row>
    <row r="289" spans="1:11" ht="15.75">
      <c r="A289" s="118" t="s">
        <v>181</v>
      </c>
      <c r="B289" s="119">
        <f>I47</f>
        <v>1550</v>
      </c>
      <c r="C289" s="41"/>
      <c r="D289" s="41"/>
      <c r="E289" s="41"/>
      <c r="F289" s="41"/>
      <c r="G289" s="202"/>
      <c r="H289" s="202"/>
      <c r="I289" s="41"/>
    </row>
    <row r="290" spans="1:11" ht="15.75">
      <c r="A290" s="120" t="s">
        <v>182</v>
      </c>
      <c r="B290" s="121">
        <f>E157</f>
        <v>1732.9998723560002</v>
      </c>
      <c r="C290" s="41"/>
      <c r="D290" s="41"/>
      <c r="E290" s="41"/>
      <c r="F290" s="41"/>
      <c r="G290" s="202"/>
      <c r="H290" s="202"/>
      <c r="I290" s="41"/>
    </row>
    <row r="291" spans="1:11" ht="15.75">
      <c r="A291" s="120" t="s">
        <v>183</v>
      </c>
      <c r="B291" s="121">
        <f>E212</f>
        <v>2.4303534067393526</v>
      </c>
      <c r="C291" s="41"/>
      <c r="D291" s="41"/>
      <c r="E291" s="41"/>
      <c r="F291" s="41"/>
      <c r="G291" s="202"/>
      <c r="H291" s="202"/>
      <c r="I291" s="41"/>
    </row>
    <row r="292" spans="1:11" ht="31.5">
      <c r="A292" s="120" t="s">
        <v>184</v>
      </c>
      <c r="B292" s="121">
        <f>D249</f>
        <v>249.32400137740453</v>
      </c>
      <c r="C292" s="41"/>
      <c r="D292" s="41"/>
      <c r="E292" s="41"/>
      <c r="F292" s="41"/>
      <c r="G292" s="202"/>
      <c r="H292" s="202"/>
      <c r="I292" s="41"/>
    </row>
    <row r="293" spans="1:11" ht="15.75">
      <c r="A293" s="120" t="s">
        <v>185</v>
      </c>
      <c r="B293" s="121">
        <f>E276</f>
        <v>667.68670138888876</v>
      </c>
      <c r="C293" s="41"/>
      <c r="D293" s="41"/>
      <c r="E293" s="41"/>
      <c r="F293" s="41"/>
      <c r="G293" s="202"/>
      <c r="H293" s="202"/>
      <c r="I293" s="41"/>
    </row>
    <row r="294" spans="1:11" ht="32.25" thickBot="1">
      <c r="A294" s="122" t="s">
        <v>186</v>
      </c>
      <c r="B294" s="123">
        <f>D282</f>
        <v>1086.8742542061254</v>
      </c>
      <c r="C294" s="41"/>
      <c r="D294" s="41"/>
      <c r="E294" s="41"/>
      <c r="F294" s="41"/>
      <c r="G294" s="202"/>
      <c r="H294" s="202"/>
      <c r="I294" s="41"/>
    </row>
    <row r="295" spans="1:11" ht="16.5" thickBot="1">
      <c r="A295" s="136" t="s">
        <v>187</v>
      </c>
      <c r="B295" s="137">
        <f>SUM(B289:B294)</f>
        <v>5289.3151827351585</v>
      </c>
      <c r="C295" s="41"/>
      <c r="D295" s="41"/>
      <c r="E295" s="41"/>
      <c r="F295" s="41"/>
      <c r="G295" s="202"/>
      <c r="H295" s="202"/>
      <c r="I295" s="41"/>
    </row>
    <row r="297" spans="1:11">
      <c r="A297" t="str">
        <f>'Área Dispersas'!J127</f>
        <v>Manaus, 02 de DEZEMBRO de 2024</v>
      </c>
    </row>
    <row r="299" spans="1:11">
      <c r="A299" s="166" t="s">
        <v>188</v>
      </c>
      <c r="C299" s="166" t="s">
        <v>188</v>
      </c>
    </row>
    <row r="300" spans="1:11" ht="15.75" customHeight="1">
      <c r="A300" s="167" t="s">
        <v>189</v>
      </c>
      <c r="C300" s="167" t="s">
        <v>189</v>
      </c>
    </row>
    <row r="301" spans="1:11">
      <c r="A301" s="168" t="str">
        <f>'Área Dispersas'!J131</f>
        <v>Elton de Jesus Thomaz</v>
      </c>
      <c r="C301" s="168" t="s">
        <v>190</v>
      </c>
    </row>
    <row r="302" spans="1:11">
      <c r="A302" s="169"/>
      <c r="C302" s="167"/>
    </row>
    <row r="303" spans="1:11">
      <c r="A303" s="170"/>
      <c r="C303" s="170"/>
      <c r="D303" s="170"/>
    </row>
    <row r="304" spans="1:11">
      <c r="K304" s="163"/>
    </row>
    <row r="305" spans="9:11">
      <c r="K305" s="164"/>
    </row>
    <row r="306" spans="9:11">
      <c r="I306" s="165"/>
    </row>
  </sheetData>
  <mergeCells count="101">
    <mergeCell ref="A131:I131"/>
    <mergeCell ref="A214:I214"/>
    <mergeCell ref="E172:F172"/>
    <mergeCell ref="A278:I278"/>
    <mergeCell ref="A210:E210"/>
    <mergeCell ref="A216:E216"/>
    <mergeCell ref="A217:E217"/>
    <mergeCell ref="A186:D186"/>
    <mergeCell ref="A190:D190"/>
    <mergeCell ref="A194:D194"/>
    <mergeCell ref="A198:I198"/>
    <mergeCell ref="F185:I197"/>
    <mergeCell ref="A184:I184"/>
    <mergeCell ref="A208:I208"/>
    <mergeCell ref="A137:I137"/>
    <mergeCell ref="A133:D133"/>
    <mergeCell ref="A204:D204"/>
    <mergeCell ref="A280:D280"/>
    <mergeCell ref="A285:I285"/>
    <mergeCell ref="A245:I245"/>
    <mergeCell ref="A247:D247"/>
    <mergeCell ref="A251:E251"/>
    <mergeCell ref="A253:D253"/>
    <mergeCell ref="A240:E240"/>
    <mergeCell ref="A218:A219"/>
    <mergeCell ref="B218:B219"/>
    <mergeCell ref="C218:C219"/>
    <mergeCell ref="D218:E218"/>
    <mergeCell ref="A232:D232"/>
    <mergeCell ref="A287:B287"/>
    <mergeCell ref="A260:C260"/>
    <mergeCell ref="A262:C262"/>
    <mergeCell ref="A270:D270"/>
    <mergeCell ref="A274:E274"/>
    <mergeCell ref="A266:D266"/>
    <mergeCell ref="A236:D236"/>
    <mergeCell ref="C25:E25"/>
    <mergeCell ref="A234:I234"/>
    <mergeCell ref="A200:E200"/>
    <mergeCell ref="A155:E155"/>
    <mergeCell ref="A107:D107"/>
    <mergeCell ref="A61:D61"/>
    <mergeCell ref="A65:E65"/>
    <mergeCell ref="A69:I69"/>
    <mergeCell ref="A71:B71"/>
    <mergeCell ref="A83:D83"/>
    <mergeCell ref="A87:D87"/>
    <mergeCell ref="A91:D91"/>
    <mergeCell ref="A95:I95"/>
    <mergeCell ref="A97:I97"/>
    <mergeCell ref="A99:E99"/>
    <mergeCell ref="A103:E103"/>
    <mergeCell ref="A127:D127"/>
    <mergeCell ref="A1:I1"/>
    <mergeCell ref="A57:E57"/>
    <mergeCell ref="A30:I30"/>
    <mergeCell ref="A32:B32"/>
    <mergeCell ref="A36:I36"/>
    <mergeCell ref="A38:D38"/>
    <mergeCell ref="C5:E5"/>
    <mergeCell ref="A43:I43"/>
    <mergeCell ref="A45:I45"/>
    <mergeCell ref="A49:I49"/>
    <mergeCell ref="A51:I51"/>
    <mergeCell ref="A53:D53"/>
    <mergeCell ref="C27:E27"/>
    <mergeCell ref="A4:I4"/>
    <mergeCell ref="C16:E16"/>
    <mergeCell ref="C24:E24"/>
    <mergeCell ref="A3:I3"/>
    <mergeCell ref="C6:E6"/>
    <mergeCell ref="C19:D19"/>
    <mergeCell ref="A9:E9"/>
    <mergeCell ref="C13:E13"/>
    <mergeCell ref="A15:C15"/>
    <mergeCell ref="A22:E22"/>
    <mergeCell ref="A17:A20"/>
    <mergeCell ref="C20:D20"/>
    <mergeCell ref="C10:E10"/>
    <mergeCell ref="C11:E11"/>
    <mergeCell ref="C12:E12"/>
    <mergeCell ref="A161:B161"/>
    <mergeCell ref="A170:I170"/>
    <mergeCell ref="A172:D172"/>
    <mergeCell ref="A176:D176"/>
    <mergeCell ref="A180:D180"/>
    <mergeCell ref="A159:I159"/>
    <mergeCell ref="A111:I111"/>
    <mergeCell ref="A113:D113"/>
    <mergeCell ref="A117:D117"/>
    <mergeCell ref="C26:E26"/>
    <mergeCell ref="A23:E23"/>
    <mergeCell ref="C17:D17"/>
    <mergeCell ref="A125:I125"/>
    <mergeCell ref="A153:I153"/>
    <mergeCell ref="A139:D139"/>
    <mergeCell ref="A149:I149"/>
    <mergeCell ref="C18:D18"/>
    <mergeCell ref="A121:D121"/>
    <mergeCell ref="A143:I143"/>
    <mergeCell ref="A145:D145"/>
  </mergeCells>
  <pageMargins left="0.51181102362204722" right="0.51181102362204722" top="0.78740157480314965" bottom="0.78740157480314965" header="0.31496062992125984" footer="0.31496062992125984"/>
  <pageSetup paperSize="9" scale="59" orientation="portrait" r:id="rId1"/>
  <rowBreaks count="4" manualBreakCount="4">
    <brk id="41" max="8" man="1"/>
    <brk id="94" max="8" man="1"/>
    <brk id="158" max="8" man="1"/>
    <brk id="261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2"/>
  <sheetViews>
    <sheetView view="pageBreakPreview" topLeftCell="A244" zoomScaleNormal="100" zoomScaleSheetLayoutView="100" workbookViewId="0">
      <selection activeCell="C254" sqref="C254:D258"/>
    </sheetView>
  </sheetViews>
  <sheetFormatPr defaultRowHeight="15"/>
  <cols>
    <col min="1" max="1" width="33.7109375" customWidth="1"/>
    <col min="2" max="3" width="18.140625" bestFit="1" customWidth="1"/>
    <col min="4" max="4" width="15.42578125" bestFit="1" customWidth="1"/>
    <col min="5" max="6" width="18.140625" bestFit="1" customWidth="1"/>
    <col min="7" max="8" width="18.140625" customWidth="1"/>
    <col min="9" max="9" width="18.85546875" customWidth="1"/>
  </cols>
  <sheetData>
    <row r="1" spans="1:9" ht="15.75">
      <c r="A1" s="266" t="s">
        <v>0</v>
      </c>
      <c r="B1" s="266"/>
      <c r="C1" s="266"/>
      <c r="D1" s="266"/>
      <c r="E1" s="266"/>
      <c r="F1" s="266"/>
      <c r="G1" s="266"/>
      <c r="H1" s="266"/>
      <c r="I1" s="266"/>
    </row>
    <row r="2" spans="1:9" ht="15.75">
      <c r="A2" s="96"/>
      <c r="B2" s="96"/>
      <c r="C2" s="96"/>
      <c r="D2" s="96"/>
      <c r="E2" s="96"/>
      <c r="F2" s="96"/>
      <c r="G2" s="201"/>
      <c r="H2" s="201"/>
      <c r="I2" s="96"/>
    </row>
    <row r="3" spans="1:9" ht="15.6" customHeight="1">
      <c r="A3" s="273" t="s">
        <v>1</v>
      </c>
      <c r="B3" s="274"/>
      <c r="C3" s="274"/>
      <c r="D3" s="274"/>
      <c r="E3" s="274"/>
      <c r="F3" s="274"/>
      <c r="G3" s="274"/>
      <c r="H3" s="274"/>
      <c r="I3" s="274"/>
    </row>
    <row r="4" spans="1:9" ht="15.6" customHeight="1">
      <c r="A4" s="272" t="s">
        <v>2</v>
      </c>
      <c r="B4" s="272"/>
      <c r="C4" s="272"/>
      <c r="D4" s="272"/>
      <c r="E4" s="272"/>
      <c r="F4" s="272"/>
      <c r="G4" s="272"/>
      <c r="H4" s="272"/>
      <c r="I4" s="272"/>
    </row>
    <row r="5" spans="1:9" ht="15.75">
      <c r="A5" s="124"/>
      <c r="B5" s="33" t="s">
        <v>3</v>
      </c>
      <c r="C5" s="270" t="str">
        <f>ASG!C5</f>
        <v>23105.034436/2024-13</v>
      </c>
      <c r="D5" s="270"/>
      <c r="E5" s="270"/>
      <c r="F5" s="96"/>
      <c r="G5" s="201"/>
      <c r="H5" s="201"/>
      <c r="I5" s="96"/>
    </row>
    <row r="6" spans="1:9" ht="15.75">
      <c r="A6" s="124"/>
      <c r="B6" s="33" t="s">
        <v>4</v>
      </c>
      <c r="C6" s="275"/>
      <c r="D6" s="275"/>
      <c r="E6" s="275"/>
      <c r="F6" s="96"/>
      <c r="G6" s="201"/>
      <c r="H6" s="201"/>
      <c r="I6" s="96"/>
    </row>
    <row r="7" spans="1:9" ht="15.75">
      <c r="A7" s="125"/>
      <c r="B7" s="126" t="s">
        <v>5</v>
      </c>
      <c r="C7" s="126"/>
      <c r="D7" s="126"/>
      <c r="E7" s="126"/>
      <c r="F7" s="96"/>
      <c r="G7" s="201"/>
      <c r="H7" s="201"/>
      <c r="I7" s="96"/>
    </row>
    <row r="8" spans="1:9" ht="15.75">
      <c r="A8" s="127"/>
      <c r="B8" s="127"/>
      <c r="C8" s="127"/>
      <c r="D8" s="127"/>
      <c r="E8" s="127"/>
      <c r="F8" s="96"/>
      <c r="G8" s="201"/>
      <c r="H8" s="201"/>
      <c r="I8" s="96"/>
    </row>
    <row r="9" spans="1:9" ht="15.75">
      <c r="A9" s="276" t="s">
        <v>6</v>
      </c>
      <c r="B9" s="276"/>
      <c r="C9" s="276"/>
      <c r="D9" s="276"/>
      <c r="E9" s="276"/>
      <c r="F9" s="96"/>
      <c r="G9" s="201"/>
      <c r="H9" s="201"/>
      <c r="I9" s="96"/>
    </row>
    <row r="10" spans="1:9" ht="58.9" customHeight="1">
      <c r="A10" s="129" t="s">
        <v>7</v>
      </c>
      <c r="B10" s="128" t="s">
        <v>8</v>
      </c>
      <c r="C10" s="249"/>
      <c r="D10" s="249"/>
      <c r="E10" s="249"/>
      <c r="F10" s="96"/>
      <c r="G10" s="201"/>
      <c r="H10" s="201"/>
      <c r="I10" s="96"/>
    </row>
    <row r="11" spans="1:9" ht="15.75">
      <c r="A11" s="129" t="s">
        <v>9</v>
      </c>
      <c r="B11" s="128" t="s">
        <v>10</v>
      </c>
      <c r="C11" s="250" t="s">
        <v>11</v>
      </c>
      <c r="D11" s="250"/>
      <c r="E11" s="250"/>
      <c r="F11" s="96"/>
      <c r="G11" s="201"/>
      <c r="H11" s="201"/>
      <c r="I11" s="96"/>
    </row>
    <row r="12" spans="1:9" ht="75">
      <c r="A12" s="129" t="s">
        <v>12</v>
      </c>
      <c r="B12" s="128" t="s">
        <v>13</v>
      </c>
      <c r="C12" s="304" t="str">
        <f>ASG!C12</f>
        <v>AM000578/2024</v>
      </c>
      <c r="D12" s="304"/>
      <c r="E12" s="304"/>
      <c r="F12" s="96"/>
      <c r="G12" s="201"/>
      <c r="H12" s="201"/>
      <c r="I12" s="96"/>
    </row>
    <row r="13" spans="1:9" ht="45">
      <c r="A13" s="129" t="s">
        <v>14</v>
      </c>
      <c r="B13" s="128" t="s">
        <v>15</v>
      </c>
      <c r="C13" s="250">
        <v>12</v>
      </c>
      <c r="D13" s="250"/>
      <c r="E13" s="250"/>
      <c r="F13" s="96"/>
      <c r="G13" s="201"/>
      <c r="H13" s="201"/>
      <c r="I13" s="96"/>
    </row>
    <row r="14" spans="1:9" ht="15.75">
      <c r="A14" s="127"/>
      <c r="B14" s="127"/>
      <c r="C14" s="127"/>
      <c r="D14" s="127"/>
      <c r="E14" s="127"/>
      <c r="F14" s="96"/>
      <c r="G14" s="201"/>
      <c r="H14" s="201"/>
      <c r="I14" s="96"/>
    </row>
    <row r="15" spans="1:9" ht="15.75">
      <c r="A15" s="277" t="s">
        <v>16</v>
      </c>
      <c r="B15" s="277"/>
      <c r="C15" s="277"/>
      <c r="D15" s="130"/>
      <c r="E15" s="127"/>
      <c r="F15" s="96"/>
      <c r="G15" s="201"/>
      <c r="H15" s="201"/>
      <c r="I15" s="96"/>
    </row>
    <row r="16" spans="1:9" ht="28.15" customHeight="1">
      <c r="A16" s="129" t="s">
        <v>17</v>
      </c>
      <c r="B16" s="129" t="s">
        <v>18</v>
      </c>
      <c r="C16" s="263" t="s">
        <v>19</v>
      </c>
      <c r="D16" s="263"/>
      <c r="E16" s="263"/>
      <c r="F16" s="96"/>
      <c r="G16" s="201"/>
      <c r="H16" s="201"/>
      <c r="I16" s="96"/>
    </row>
    <row r="17" spans="1:9" ht="15.75">
      <c r="A17" s="278" t="s">
        <v>20</v>
      </c>
      <c r="B17" s="129" t="s">
        <v>21</v>
      </c>
      <c r="C17" s="263" t="s">
        <v>22</v>
      </c>
      <c r="D17" s="263"/>
      <c r="E17" s="1">
        <v>1581.09</v>
      </c>
      <c r="F17" s="96"/>
      <c r="G17" s="201"/>
      <c r="H17" s="201"/>
      <c r="I17" s="96"/>
    </row>
    <row r="18" spans="1:9" ht="15.75">
      <c r="A18" s="279"/>
      <c r="B18" s="129" t="s">
        <v>21</v>
      </c>
      <c r="C18" s="250" t="s">
        <v>23</v>
      </c>
      <c r="D18" s="250"/>
      <c r="E18" s="144">
        <v>0</v>
      </c>
      <c r="F18" s="96"/>
      <c r="G18" s="201"/>
      <c r="H18" s="201"/>
      <c r="I18" s="96"/>
    </row>
    <row r="19" spans="1:9" ht="15.75">
      <c r="A19" s="279"/>
      <c r="B19" s="129" t="s">
        <v>21</v>
      </c>
      <c r="C19" s="250" t="s">
        <v>24</v>
      </c>
      <c r="D19" s="250"/>
      <c r="E19" s="144">
        <v>0</v>
      </c>
      <c r="F19" s="96"/>
      <c r="G19" s="201"/>
      <c r="H19" s="201"/>
      <c r="I19" s="96"/>
    </row>
    <row r="20" spans="1:9" ht="15.75">
      <c r="A20" s="280"/>
      <c r="B20" s="129" t="s">
        <v>21</v>
      </c>
      <c r="C20" s="247" t="s">
        <v>25</v>
      </c>
      <c r="D20" s="248"/>
      <c r="E20" s="144">
        <f>'[1]Cálculo Área m²'!F100</f>
        <v>0</v>
      </c>
      <c r="F20" s="96"/>
      <c r="G20" s="201"/>
      <c r="H20" s="201"/>
      <c r="I20" s="96"/>
    </row>
    <row r="21" spans="1:9" ht="15.75">
      <c r="A21" s="127"/>
      <c r="B21" s="127"/>
      <c r="C21" s="127"/>
      <c r="D21" s="127"/>
      <c r="E21" s="127"/>
      <c r="F21" s="96"/>
      <c r="G21" s="201"/>
      <c r="H21" s="201"/>
      <c r="I21" s="96"/>
    </row>
    <row r="22" spans="1:9" ht="15.75">
      <c r="A22" s="277" t="s">
        <v>26</v>
      </c>
      <c r="B22" s="277"/>
      <c r="C22" s="277"/>
      <c r="D22" s="277"/>
      <c r="E22" s="277"/>
      <c r="F22" s="96"/>
      <c r="G22" s="201"/>
      <c r="H22" s="201"/>
      <c r="I22" s="96"/>
    </row>
    <row r="23" spans="1:9" ht="15.75">
      <c r="A23" s="262" t="s">
        <v>27</v>
      </c>
      <c r="B23" s="262"/>
      <c r="C23" s="262"/>
      <c r="D23" s="262"/>
      <c r="E23" s="262"/>
      <c r="F23" s="96"/>
      <c r="G23" s="201"/>
      <c r="H23" s="201"/>
      <c r="I23" s="96"/>
    </row>
    <row r="24" spans="1:9" ht="60">
      <c r="A24" s="129">
        <v>1</v>
      </c>
      <c r="B24" s="131" t="s">
        <v>28</v>
      </c>
      <c r="C24" s="263" t="s">
        <v>20</v>
      </c>
      <c r="D24" s="263"/>
      <c r="E24" s="263"/>
      <c r="F24" s="96"/>
      <c r="G24" s="201"/>
      <c r="H24" s="201"/>
      <c r="I24" s="96"/>
    </row>
    <row r="25" spans="1:9" ht="45">
      <c r="A25" s="129">
        <v>2</v>
      </c>
      <c r="B25" s="132" t="s">
        <v>29</v>
      </c>
      <c r="C25" s="305">
        <f>ASG!C25</f>
        <v>1550</v>
      </c>
      <c r="D25" s="305"/>
      <c r="E25" s="305"/>
      <c r="F25" s="96"/>
      <c r="G25" s="201"/>
      <c r="H25" s="201"/>
      <c r="I25" s="96"/>
    </row>
    <row r="26" spans="1:9" ht="75">
      <c r="A26" s="129">
        <v>3</v>
      </c>
      <c r="B26" s="132" t="s">
        <v>30</v>
      </c>
      <c r="C26" s="261" t="s">
        <v>191</v>
      </c>
      <c r="D26" s="261"/>
      <c r="E26" s="261"/>
      <c r="F26" s="96"/>
      <c r="G26" s="201"/>
      <c r="H26" s="201"/>
      <c r="I26" s="96"/>
    </row>
    <row r="27" spans="1:9" ht="45">
      <c r="A27" s="129">
        <v>4</v>
      </c>
      <c r="B27" s="132" t="s">
        <v>32</v>
      </c>
      <c r="C27" s="249">
        <f>ASG!C27</f>
        <v>45658</v>
      </c>
      <c r="D27" s="249"/>
      <c r="E27" s="249"/>
      <c r="F27" s="96"/>
      <c r="G27" s="201"/>
      <c r="H27" s="201"/>
      <c r="I27" s="96"/>
    </row>
    <row r="28" spans="1:9" ht="15.75">
      <c r="A28" s="96"/>
      <c r="B28" s="96"/>
      <c r="C28" s="96"/>
      <c r="D28" s="96"/>
      <c r="E28" s="96"/>
      <c r="F28" s="96"/>
      <c r="G28" s="201"/>
      <c r="H28" s="201"/>
      <c r="I28" s="96"/>
    </row>
    <row r="29" spans="1:9" ht="15.6" customHeight="1">
      <c r="A29" s="41"/>
      <c r="B29" s="41"/>
      <c r="C29" s="41"/>
      <c r="D29" s="41"/>
      <c r="E29" s="41"/>
      <c r="F29" s="41"/>
      <c r="G29" s="202"/>
      <c r="H29" s="202"/>
      <c r="I29" s="41"/>
    </row>
    <row r="30" spans="1:9" ht="15.75">
      <c r="A30" s="254" t="s">
        <v>33</v>
      </c>
      <c r="B30" s="254"/>
      <c r="C30" s="254"/>
      <c r="D30" s="254"/>
      <c r="E30" s="254"/>
      <c r="F30" s="254"/>
      <c r="G30" s="254"/>
      <c r="H30" s="254"/>
      <c r="I30" s="254"/>
    </row>
    <row r="31" spans="1:9" ht="16.5" thickBot="1">
      <c r="A31" s="41"/>
      <c r="B31" s="41"/>
      <c r="C31" s="41"/>
      <c r="D31" s="41"/>
      <c r="E31" s="41"/>
      <c r="F31" s="41"/>
      <c r="G31" s="202"/>
      <c r="H31" s="202"/>
      <c r="I31" s="41"/>
    </row>
    <row r="32" spans="1:9" ht="16.5" thickBot="1">
      <c r="A32" s="255" t="s">
        <v>34</v>
      </c>
      <c r="B32" s="257"/>
      <c r="C32" s="41"/>
      <c r="D32" s="41"/>
      <c r="E32" s="41"/>
      <c r="F32" s="41"/>
      <c r="G32" s="202"/>
      <c r="H32" s="202"/>
      <c r="I32" s="41"/>
    </row>
    <row r="33" spans="1:9" ht="15.75">
      <c r="A33" s="133" t="s">
        <v>35</v>
      </c>
      <c r="B33" s="192">
        <f>C25</f>
        <v>1550</v>
      </c>
      <c r="C33" s="41"/>
      <c r="D33" s="41"/>
      <c r="E33" s="41"/>
      <c r="F33" s="41"/>
      <c r="G33" s="202"/>
      <c r="H33" s="202"/>
      <c r="I33" s="41"/>
    </row>
    <row r="34" spans="1:9" ht="15.75">
      <c r="A34" s="41"/>
      <c r="B34" s="41"/>
      <c r="C34" s="41"/>
      <c r="D34" s="41"/>
      <c r="E34" s="41"/>
      <c r="F34" s="41"/>
      <c r="G34" s="202"/>
      <c r="H34" s="202"/>
      <c r="I34" s="41"/>
    </row>
    <row r="35" spans="1:9" ht="15.75">
      <c r="A35" s="41"/>
      <c r="B35" s="41"/>
      <c r="C35" s="41"/>
      <c r="D35" s="41"/>
      <c r="E35" s="41"/>
      <c r="F35" s="41"/>
      <c r="G35" s="202"/>
      <c r="H35" s="202"/>
      <c r="I35" s="41"/>
    </row>
    <row r="36" spans="1:9" ht="15.75">
      <c r="A36" s="254" t="s">
        <v>36</v>
      </c>
      <c r="B36" s="254"/>
      <c r="C36" s="254"/>
      <c r="D36" s="254"/>
      <c r="E36" s="254"/>
      <c r="F36" s="254"/>
      <c r="G36" s="254"/>
      <c r="H36" s="254"/>
      <c r="I36" s="254"/>
    </row>
    <row r="37" spans="1:9" ht="16.5" thickBot="1">
      <c r="A37" s="41"/>
      <c r="B37" s="41"/>
      <c r="C37" s="41"/>
      <c r="D37" s="41"/>
      <c r="E37" s="41"/>
      <c r="F37" s="41"/>
      <c r="G37" s="202"/>
      <c r="H37" s="202"/>
      <c r="I37" s="41"/>
    </row>
    <row r="38" spans="1:9" ht="16.5" thickBot="1">
      <c r="A38" s="255" t="s">
        <v>36</v>
      </c>
      <c r="B38" s="256"/>
      <c r="C38" s="256"/>
      <c r="D38" s="257"/>
      <c r="E38" s="41"/>
      <c r="F38" s="41"/>
      <c r="G38" s="202"/>
      <c r="H38" s="202"/>
      <c r="I38" s="41"/>
    </row>
    <row r="39" spans="1:9" ht="15.6" customHeight="1" thickBot="1">
      <c r="A39" s="46" t="s">
        <v>37</v>
      </c>
      <c r="B39" s="47" t="s">
        <v>38</v>
      </c>
      <c r="C39" s="47" t="s">
        <v>39</v>
      </c>
      <c r="D39" s="48" t="s">
        <v>40</v>
      </c>
      <c r="E39" s="41"/>
      <c r="F39" s="41"/>
      <c r="G39" s="202"/>
      <c r="H39" s="202"/>
      <c r="I39" s="41"/>
    </row>
    <row r="40" spans="1:9" ht="15.75">
      <c r="A40" s="133" t="s">
        <v>35</v>
      </c>
      <c r="B40" s="193">
        <f>B33</f>
        <v>1550</v>
      </c>
      <c r="C40" s="51">
        <v>0.4</v>
      </c>
      <c r="D40" s="52">
        <f>C40*C41</f>
        <v>607.20000000000005</v>
      </c>
      <c r="E40" s="41"/>
      <c r="F40" s="41"/>
      <c r="G40" s="202"/>
      <c r="H40" s="202"/>
      <c r="I40" s="41"/>
    </row>
    <row r="41" spans="1:9" ht="15.75">
      <c r="A41" s="41" t="s">
        <v>432</v>
      </c>
      <c r="B41" s="41"/>
      <c r="C41" s="246">
        <v>1518</v>
      </c>
      <c r="D41" s="41"/>
      <c r="E41" s="41"/>
      <c r="F41" s="41"/>
      <c r="G41" s="202"/>
      <c r="H41" s="202"/>
      <c r="I41" s="41"/>
    </row>
    <row r="42" spans="1:9" ht="15.75">
      <c r="A42" s="41"/>
      <c r="B42" s="41"/>
      <c r="C42" s="41"/>
      <c r="D42" s="41"/>
      <c r="E42" s="41"/>
      <c r="F42" s="41"/>
      <c r="G42" s="202"/>
      <c r="H42" s="202"/>
      <c r="I42" s="41"/>
    </row>
    <row r="43" spans="1:9" ht="15.75">
      <c r="A43" s="254" t="s">
        <v>33</v>
      </c>
      <c r="B43" s="254"/>
      <c r="C43" s="254"/>
      <c r="D43" s="254"/>
      <c r="E43" s="254"/>
      <c r="F43" s="254"/>
      <c r="G43" s="254"/>
      <c r="H43" s="254"/>
      <c r="I43" s="254"/>
    </row>
    <row r="44" spans="1:9" ht="16.5" thickBot="1">
      <c r="A44" s="41"/>
      <c r="B44" s="41"/>
      <c r="C44" s="41"/>
      <c r="D44" s="41"/>
      <c r="E44" s="41"/>
      <c r="F44" s="41"/>
      <c r="G44" s="202"/>
      <c r="H44" s="202"/>
      <c r="I44" s="41"/>
    </row>
    <row r="45" spans="1:9" ht="16.5" thickBot="1">
      <c r="A45" s="267" t="s">
        <v>33</v>
      </c>
      <c r="B45" s="268"/>
      <c r="C45" s="268"/>
      <c r="D45" s="268"/>
      <c r="E45" s="268"/>
      <c r="F45" s="268"/>
      <c r="G45" s="268"/>
      <c r="H45" s="268"/>
      <c r="I45" s="269"/>
    </row>
    <row r="46" spans="1:9" ht="16.5" thickBot="1">
      <c r="A46" s="43" t="s">
        <v>37</v>
      </c>
      <c r="B46" s="44" t="s">
        <v>41</v>
      </c>
      <c r="C46" s="57" t="s">
        <v>42</v>
      </c>
      <c r="D46" s="44" t="s">
        <v>43</v>
      </c>
      <c r="E46" s="44" t="s">
        <v>43</v>
      </c>
      <c r="F46" s="44" t="s">
        <v>43</v>
      </c>
      <c r="G46" s="209"/>
      <c r="H46" s="209"/>
      <c r="I46" s="45" t="s">
        <v>44</v>
      </c>
    </row>
    <row r="47" spans="1:9" ht="15.75">
      <c r="A47" s="133" t="s">
        <v>35</v>
      </c>
      <c r="B47" s="193">
        <f>$B$33</f>
        <v>1550</v>
      </c>
      <c r="C47" s="50">
        <f>D40</f>
        <v>607.20000000000005</v>
      </c>
      <c r="D47" s="50"/>
      <c r="E47" s="50"/>
      <c r="F47" s="56"/>
      <c r="G47" s="210"/>
      <c r="H47" s="210"/>
      <c r="I47" s="52">
        <f>SUM(B47:F47)</f>
        <v>2157.1999999999998</v>
      </c>
    </row>
    <row r="48" spans="1:9" ht="15.75">
      <c r="A48" s="41"/>
      <c r="B48" s="41"/>
      <c r="C48" s="41"/>
      <c r="D48" s="41"/>
      <c r="E48" s="41"/>
      <c r="F48" s="41"/>
      <c r="G48" s="202"/>
      <c r="H48" s="202"/>
      <c r="I48" s="41"/>
    </row>
    <row r="49" spans="1:9" ht="15.75">
      <c r="A49" s="254" t="s">
        <v>45</v>
      </c>
      <c r="B49" s="254"/>
      <c r="C49" s="254"/>
      <c r="D49" s="254"/>
      <c r="E49" s="254"/>
      <c r="F49" s="254"/>
      <c r="G49" s="254"/>
      <c r="H49" s="254"/>
      <c r="I49" s="254"/>
    </row>
    <row r="50" spans="1:9" ht="15.75">
      <c r="A50" s="41"/>
      <c r="B50" s="41"/>
      <c r="C50" s="41"/>
      <c r="D50" s="41"/>
      <c r="E50" s="41"/>
      <c r="F50" s="41"/>
      <c r="G50" s="202"/>
      <c r="H50" s="202"/>
      <c r="I50" s="41"/>
    </row>
    <row r="51" spans="1:9" ht="15.75">
      <c r="A51" s="254" t="s">
        <v>46</v>
      </c>
      <c r="B51" s="254"/>
      <c r="C51" s="254"/>
      <c r="D51" s="254"/>
      <c r="E51" s="254"/>
      <c r="F51" s="254"/>
      <c r="G51" s="254"/>
      <c r="H51" s="254"/>
      <c r="I51" s="254"/>
    </row>
    <row r="52" spans="1:9" ht="16.5" thickBot="1">
      <c r="A52" s="41"/>
      <c r="B52" s="41"/>
      <c r="C52" s="41"/>
      <c r="D52" s="41"/>
      <c r="E52" s="41"/>
      <c r="F52" s="41"/>
      <c r="G52" s="202"/>
      <c r="H52" s="202"/>
      <c r="I52" s="41"/>
    </row>
    <row r="53" spans="1:9" ht="16.5" thickBot="1">
      <c r="A53" s="255" t="s">
        <v>47</v>
      </c>
      <c r="B53" s="256"/>
      <c r="C53" s="256"/>
      <c r="D53" s="257"/>
      <c r="E53" s="41"/>
      <c r="F53" s="41"/>
      <c r="G53" s="202"/>
      <c r="H53" s="202"/>
      <c r="I53" s="41"/>
    </row>
    <row r="54" spans="1:9" ht="16.5" thickBot="1">
      <c r="A54" s="58" t="s">
        <v>37</v>
      </c>
      <c r="B54" s="59" t="s">
        <v>38</v>
      </c>
      <c r="C54" s="59" t="s">
        <v>39</v>
      </c>
      <c r="D54" s="60" t="s">
        <v>40</v>
      </c>
      <c r="E54" s="41"/>
      <c r="F54" s="41"/>
      <c r="G54" s="202"/>
      <c r="H54" s="202"/>
      <c r="I54" s="41"/>
    </row>
    <row r="55" spans="1:9" ht="15.75">
      <c r="A55" s="133" t="s">
        <v>35</v>
      </c>
      <c r="B55" s="50">
        <f>I47</f>
        <v>2157.1999999999998</v>
      </c>
      <c r="C55" s="61">
        <v>8.3299999999999999E-2</v>
      </c>
      <c r="D55" s="52">
        <f>B55*C55</f>
        <v>179.69475999999997</v>
      </c>
      <c r="E55" s="41"/>
      <c r="F55" s="41"/>
      <c r="G55" s="202"/>
      <c r="H55" s="202"/>
      <c r="I55" s="41"/>
    </row>
    <row r="56" spans="1:9" ht="16.5" thickBot="1">
      <c r="A56" s="41"/>
      <c r="B56" s="41"/>
      <c r="C56" s="41"/>
      <c r="D56" s="41"/>
      <c r="E56" s="41"/>
      <c r="F56" s="41"/>
      <c r="G56" s="202"/>
      <c r="H56" s="202"/>
      <c r="I56" s="41"/>
    </row>
    <row r="57" spans="1:9" ht="16.5" thickBot="1">
      <c r="A57" s="267" t="s">
        <v>48</v>
      </c>
      <c r="B57" s="268"/>
      <c r="C57" s="268"/>
      <c r="D57" s="268"/>
      <c r="E57" s="269"/>
      <c r="F57" s="41"/>
      <c r="G57" s="202"/>
      <c r="H57" s="202"/>
      <c r="I57" s="41"/>
    </row>
    <row r="58" spans="1:9" ht="32.25" thickBot="1">
      <c r="A58" s="58" t="s">
        <v>37</v>
      </c>
      <c r="B58" s="59" t="s">
        <v>38</v>
      </c>
      <c r="C58" s="62" t="s">
        <v>49</v>
      </c>
      <c r="D58" s="59" t="s">
        <v>39</v>
      </c>
      <c r="E58" s="60" t="s">
        <v>40</v>
      </c>
      <c r="F58" s="41"/>
      <c r="G58" s="202"/>
      <c r="H58" s="202"/>
      <c r="I58" s="41"/>
    </row>
    <row r="59" spans="1:9" ht="15.75">
      <c r="A59" s="133" t="s">
        <v>35</v>
      </c>
      <c r="B59" s="50">
        <f>I47</f>
        <v>2157.1999999999998</v>
      </c>
      <c r="C59" s="54">
        <v>0.33329999999999999</v>
      </c>
      <c r="D59" s="61">
        <v>8.3299999999999999E-2</v>
      </c>
      <c r="E59" s="52">
        <f>B59*C59*D59</f>
        <v>59.892263507999992</v>
      </c>
      <c r="F59" s="41"/>
      <c r="G59" s="202"/>
      <c r="H59" s="202"/>
      <c r="I59" s="41"/>
    </row>
    <row r="60" spans="1:9" ht="16.5" thickBot="1">
      <c r="A60" s="41"/>
      <c r="B60" s="41"/>
      <c r="C60" s="41"/>
      <c r="D60" s="41"/>
      <c r="E60" s="41"/>
      <c r="F60" s="41"/>
      <c r="G60" s="202"/>
      <c r="H60" s="202"/>
      <c r="I60" s="41"/>
    </row>
    <row r="61" spans="1:9" ht="16.5" thickBot="1">
      <c r="A61" s="255" t="s">
        <v>50</v>
      </c>
      <c r="B61" s="256"/>
      <c r="C61" s="256"/>
      <c r="D61" s="257"/>
      <c r="E61" s="41"/>
      <c r="F61" s="41"/>
      <c r="G61" s="202"/>
      <c r="H61" s="202"/>
      <c r="I61" s="41"/>
    </row>
    <row r="62" spans="1:9" ht="16.5" thickBot="1">
      <c r="A62" s="58" t="s">
        <v>37</v>
      </c>
      <c r="B62" s="59" t="s">
        <v>38</v>
      </c>
      <c r="C62" s="59" t="s">
        <v>39</v>
      </c>
      <c r="D62" s="60" t="s">
        <v>40</v>
      </c>
      <c r="E62" s="41"/>
      <c r="F62" s="41"/>
      <c r="G62" s="202"/>
      <c r="H62" s="202"/>
      <c r="I62" s="41"/>
    </row>
    <row r="63" spans="1:9" ht="15.75">
      <c r="A63" s="133" t="s">
        <v>35</v>
      </c>
      <c r="B63" s="50">
        <f>I47</f>
        <v>2157.1999999999998</v>
      </c>
      <c r="C63" s="61">
        <f>1/12</f>
        <v>8.3333333333333329E-2</v>
      </c>
      <c r="D63" s="52">
        <f>B63*C63</f>
        <v>179.76666666666665</v>
      </c>
      <c r="E63" s="41"/>
      <c r="F63" s="41"/>
      <c r="G63" s="202"/>
      <c r="H63" s="202"/>
      <c r="I63" s="41"/>
    </row>
    <row r="64" spans="1:9" ht="16.5" thickBot="1">
      <c r="A64" s="41"/>
      <c r="B64" s="41"/>
      <c r="C64" s="41"/>
      <c r="D64" s="41"/>
      <c r="E64" s="41"/>
      <c r="F64" s="41"/>
      <c r="G64" s="202"/>
      <c r="H64" s="202"/>
      <c r="I64" s="41"/>
    </row>
    <row r="65" spans="1:9" ht="16.5" thickBot="1">
      <c r="A65" s="255" t="s">
        <v>46</v>
      </c>
      <c r="B65" s="256"/>
      <c r="C65" s="256"/>
      <c r="D65" s="256"/>
      <c r="E65" s="257"/>
      <c r="F65" s="41"/>
      <c r="G65" s="202"/>
      <c r="H65" s="202"/>
      <c r="I65" s="41"/>
    </row>
    <row r="66" spans="1:9" ht="16.5" thickBot="1">
      <c r="A66" s="58" t="s">
        <v>37</v>
      </c>
      <c r="B66" s="59" t="s">
        <v>51</v>
      </c>
      <c r="C66" s="59" t="s">
        <v>52</v>
      </c>
      <c r="D66" s="59" t="s">
        <v>53</v>
      </c>
      <c r="E66" s="60" t="s">
        <v>44</v>
      </c>
      <c r="F66" s="41"/>
      <c r="G66" s="202"/>
      <c r="H66" s="202"/>
      <c r="I66" s="41"/>
    </row>
    <row r="67" spans="1:9" ht="15.75">
      <c r="A67" s="133" t="s">
        <v>35</v>
      </c>
      <c r="B67" s="50">
        <f>D55</f>
        <v>179.69475999999997</v>
      </c>
      <c r="C67" s="50">
        <f>E59</f>
        <v>59.892263507999992</v>
      </c>
      <c r="D67" s="50">
        <f>D63</f>
        <v>179.76666666666665</v>
      </c>
      <c r="E67" s="52">
        <f>SUM(B67:D67)</f>
        <v>419.35369017466661</v>
      </c>
      <c r="F67" s="41"/>
      <c r="G67" s="202"/>
      <c r="H67" s="202"/>
      <c r="I67" s="41"/>
    </row>
    <row r="68" spans="1:9" ht="15.75">
      <c r="A68" s="41"/>
      <c r="B68" s="41"/>
      <c r="C68" s="41"/>
      <c r="D68" s="41"/>
      <c r="E68" s="41"/>
      <c r="F68" s="41"/>
      <c r="G68" s="202"/>
      <c r="H68" s="202"/>
      <c r="I68" s="41"/>
    </row>
    <row r="69" spans="1:9" ht="15.75">
      <c r="A69" s="254" t="s">
        <v>54</v>
      </c>
      <c r="B69" s="254"/>
      <c r="C69" s="254"/>
      <c r="D69" s="254"/>
      <c r="E69" s="254"/>
      <c r="F69" s="254"/>
      <c r="G69" s="254"/>
      <c r="H69" s="254"/>
      <c r="I69" s="254"/>
    </row>
    <row r="70" spans="1:9" ht="16.5" thickBot="1">
      <c r="A70" s="41"/>
      <c r="B70" s="41"/>
      <c r="C70" s="41"/>
      <c r="D70" s="41"/>
      <c r="E70" s="41"/>
      <c r="F70" s="41"/>
      <c r="G70" s="202"/>
      <c r="H70" s="202"/>
      <c r="I70" s="41"/>
    </row>
    <row r="71" spans="1:9" ht="16.5" thickBot="1">
      <c r="A71" s="255" t="s">
        <v>55</v>
      </c>
      <c r="B71" s="257"/>
      <c r="C71" s="41"/>
      <c r="D71" s="41"/>
      <c r="E71" s="41"/>
      <c r="F71" s="41"/>
      <c r="G71" s="202"/>
      <c r="H71" s="202"/>
      <c r="I71" s="41"/>
    </row>
    <row r="72" spans="1:9" ht="16.5" thickBot="1">
      <c r="A72" s="58" t="s">
        <v>56</v>
      </c>
      <c r="B72" s="60" t="s">
        <v>39</v>
      </c>
      <c r="C72" s="41"/>
      <c r="D72" s="41"/>
      <c r="E72" s="41"/>
      <c r="F72" s="41"/>
      <c r="G72" s="202"/>
      <c r="H72" s="202"/>
      <c r="I72" s="41"/>
    </row>
    <row r="73" spans="1:9" ht="15.75">
      <c r="A73" s="49" t="s">
        <v>57</v>
      </c>
      <c r="B73" s="63">
        <v>0.2</v>
      </c>
      <c r="C73" s="41"/>
      <c r="D73" s="41"/>
      <c r="E73" s="41"/>
      <c r="F73" s="41"/>
      <c r="G73" s="202"/>
      <c r="H73" s="202"/>
      <c r="I73" s="41"/>
    </row>
    <row r="74" spans="1:9" ht="15.75">
      <c r="A74" s="53" t="s">
        <v>58</v>
      </c>
      <c r="B74" s="64">
        <v>2.5000000000000001E-2</v>
      </c>
      <c r="C74" s="41"/>
      <c r="D74" s="41"/>
      <c r="E74" s="41"/>
      <c r="F74" s="41"/>
      <c r="G74" s="202"/>
      <c r="H74" s="202"/>
      <c r="I74" s="41"/>
    </row>
    <row r="75" spans="1:9" ht="15.75">
      <c r="A75" s="53" t="s">
        <v>59</v>
      </c>
      <c r="B75" s="64">
        <v>0.03</v>
      </c>
      <c r="C75" s="41"/>
      <c r="D75" s="41"/>
      <c r="E75" s="41"/>
      <c r="F75" s="41"/>
      <c r="G75" s="202"/>
      <c r="H75" s="202"/>
      <c r="I75" s="41"/>
    </row>
    <row r="76" spans="1:9" ht="15.75">
      <c r="A76" s="53" t="s">
        <v>60</v>
      </c>
      <c r="B76" s="64">
        <v>1.4999999999999999E-2</v>
      </c>
      <c r="C76" s="41"/>
      <c r="D76" s="41"/>
      <c r="E76" s="41"/>
      <c r="F76" s="41"/>
      <c r="G76" s="202"/>
      <c r="H76" s="202"/>
      <c r="I76" s="41"/>
    </row>
    <row r="77" spans="1:9" ht="15.75">
      <c r="A77" s="53" t="s">
        <v>61</v>
      </c>
      <c r="B77" s="64">
        <v>0.01</v>
      </c>
      <c r="C77" s="41"/>
      <c r="D77" s="41"/>
      <c r="E77" s="41"/>
      <c r="F77" s="41"/>
      <c r="G77" s="202"/>
      <c r="H77" s="202"/>
      <c r="I77" s="41"/>
    </row>
    <row r="78" spans="1:9" ht="15.75">
      <c r="A78" s="53" t="s">
        <v>62</v>
      </c>
      <c r="B78" s="64">
        <v>6.0000000000000001E-3</v>
      </c>
      <c r="C78" s="41"/>
      <c r="D78" s="41"/>
      <c r="E78" s="41"/>
      <c r="F78" s="41"/>
      <c r="G78" s="202"/>
      <c r="H78" s="202"/>
      <c r="I78" s="41"/>
    </row>
    <row r="79" spans="1:9" ht="15.75">
      <c r="A79" s="53" t="s">
        <v>63</v>
      </c>
      <c r="B79" s="64">
        <v>2E-3</v>
      </c>
      <c r="C79" s="41"/>
      <c r="D79" s="41"/>
      <c r="E79" s="41"/>
      <c r="F79" s="41"/>
      <c r="G79" s="202"/>
      <c r="H79" s="202"/>
      <c r="I79" s="41"/>
    </row>
    <row r="80" spans="1:9" ht="16.5" thickBot="1">
      <c r="A80" s="42" t="s">
        <v>64</v>
      </c>
      <c r="B80" s="65">
        <v>0.08</v>
      </c>
      <c r="C80" s="41"/>
      <c r="D80" s="41"/>
      <c r="E80" s="41"/>
      <c r="F80" s="41"/>
      <c r="G80" s="202"/>
      <c r="H80" s="202"/>
      <c r="I80" s="41"/>
    </row>
    <row r="81" spans="1:9" ht="16.5" thickBot="1">
      <c r="A81" s="66" t="s">
        <v>65</v>
      </c>
      <c r="B81" s="67">
        <v>0.36800000000000005</v>
      </c>
      <c r="C81" s="41"/>
      <c r="D81" s="41"/>
      <c r="E81" s="41"/>
      <c r="F81" s="41"/>
      <c r="G81" s="202"/>
      <c r="H81" s="202"/>
      <c r="I81" s="41"/>
    </row>
    <row r="82" spans="1:9" ht="16.5" thickBot="1">
      <c r="A82" s="41"/>
      <c r="B82" s="41"/>
      <c r="C82" s="41"/>
      <c r="D82" s="41"/>
      <c r="E82" s="41"/>
      <c r="F82" s="41"/>
      <c r="G82" s="202"/>
      <c r="H82" s="202"/>
      <c r="I82" s="41"/>
    </row>
    <row r="83" spans="1:9" ht="16.5" thickBot="1">
      <c r="A83" s="255" t="s">
        <v>66</v>
      </c>
      <c r="B83" s="256"/>
      <c r="C83" s="256"/>
      <c r="D83" s="257"/>
      <c r="E83" s="41"/>
      <c r="F83" s="41"/>
      <c r="G83" s="202"/>
      <c r="H83" s="202"/>
      <c r="I83" s="41"/>
    </row>
    <row r="84" spans="1:9" ht="16.5" thickBot="1">
      <c r="A84" s="58" t="s">
        <v>37</v>
      </c>
      <c r="B84" s="59" t="s">
        <v>38</v>
      </c>
      <c r="C84" s="59" t="s">
        <v>39</v>
      </c>
      <c r="D84" s="60" t="s">
        <v>40</v>
      </c>
      <c r="E84" s="41"/>
      <c r="F84" s="41"/>
      <c r="G84" s="202"/>
      <c r="H84" s="202"/>
      <c r="I84" s="41"/>
    </row>
    <row r="85" spans="1:9" ht="15.75">
      <c r="A85" s="133" t="s">
        <v>35</v>
      </c>
      <c r="B85" s="50">
        <f>I47+E67</f>
        <v>2576.5536901746664</v>
      </c>
      <c r="C85" s="61">
        <f>$B$81-$B$80</f>
        <v>0.28800000000000003</v>
      </c>
      <c r="D85" s="52">
        <f>B85*C85</f>
        <v>742.04746277030404</v>
      </c>
      <c r="E85" s="41"/>
      <c r="F85" s="41"/>
      <c r="G85" s="202"/>
      <c r="H85" s="202"/>
      <c r="I85" s="41"/>
    </row>
    <row r="86" spans="1:9" ht="16.5" thickBot="1">
      <c r="A86" s="41"/>
      <c r="B86" s="41"/>
      <c r="C86" s="41"/>
      <c r="D86" s="41"/>
      <c r="E86" s="41"/>
      <c r="F86" s="41"/>
      <c r="G86" s="202"/>
      <c r="H86" s="202"/>
      <c r="I86" s="41"/>
    </row>
    <row r="87" spans="1:9" ht="16.5" thickBot="1">
      <c r="A87" s="255" t="s">
        <v>67</v>
      </c>
      <c r="B87" s="256"/>
      <c r="C87" s="256"/>
      <c r="D87" s="257"/>
      <c r="E87" s="41"/>
      <c r="F87" s="41"/>
      <c r="G87" s="202"/>
      <c r="H87" s="202"/>
      <c r="I87" s="41"/>
    </row>
    <row r="88" spans="1:9" ht="16.5" thickBot="1">
      <c r="A88" s="58" t="s">
        <v>37</v>
      </c>
      <c r="B88" s="59" t="s">
        <v>38</v>
      </c>
      <c r="C88" s="59" t="s">
        <v>39</v>
      </c>
      <c r="D88" s="60" t="s">
        <v>40</v>
      </c>
      <c r="E88" s="41"/>
      <c r="F88" s="41"/>
      <c r="G88" s="202"/>
      <c r="H88" s="202"/>
      <c r="I88" s="41"/>
    </row>
    <row r="89" spans="1:9" ht="15.75">
      <c r="A89" s="133" t="s">
        <v>35</v>
      </c>
      <c r="B89" s="50">
        <f>I47+E67</f>
        <v>2576.5536901746664</v>
      </c>
      <c r="C89" s="61">
        <f>$B$80</f>
        <v>0.08</v>
      </c>
      <c r="D89" s="52">
        <f>B89*C89</f>
        <v>206.12429521397331</v>
      </c>
      <c r="E89" s="41"/>
      <c r="F89" s="41"/>
      <c r="G89" s="202"/>
      <c r="H89" s="202"/>
      <c r="I89" s="41"/>
    </row>
    <row r="90" spans="1:9" ht="16.5" thickBot="1">
      <c r="A90" s="41"/>
      <c r="B90" s="41"/>
      <c r="C90" s="41"/>
      <c r="D90" s="41"/>
      <c r="E90" s="41"/>
      <c r="F90" s="41"/>
      <c r="G90" s="202"/>
      <c r="H90" s="202"/>
      <c r="I90" s="41"/>
    </row>
    <row r="91" spans="1:9" ht="16.5" thickBot="1">
      <c r="A91" s="255" t="s">
        <v>54</v>
      </c>
      <c r="B91" s="256"/>
      <c r="C91" s="256"/>
      <c r="D91" s="257"/>
      <c r="E91" s="41"/>
      <c r="F91" s="41"/>
      <c r="G91" s="202"/>
      <c r="H91" s="202"/>
      <c r="I91" s="41"/>
    </row>
    <row r="92" spans="1:9" ht="16.5" thickBot="1">
      <c r="A92" s="58" t="s">
        <v>37</v>
      </c>
      <c r="B92" s="59" t="s">
        <v>68</v>
      </c>
      <c r="C92" s="59" t="s">
        <v>64</v>
      </c>
      <c r="D92" s="60" t="s">
        <v>44</v>
      </c>
      <c r="E92" s="41"/>
      <c r="F92" s="41"/>
      <c r="G92" s="202"/>
      <c r="H92" s="202"/>
      <c r="I92" s="41"/>
    </row>
    <row r="93" spans="1:9" ht="15.75">
      <c r="A93" s="133" t="s">
        <v>35</v>
      </c>
      <c r="B93" s="50">
        <f>D85</f>
        <v>742.04746277030404</v>
      </c>
      <c r="C93" s="50">
        <f>D89</f>
        <v>206.12429521397331</v>
      </c>
      <c r="D93" s="52">
        <f>B93+C93</f>
        <v>948.17175798427729</v>
      </c>
      <c r="E93" s="41"/>
      <c r="F93" s="41"/>
      <c r="G93" s="202"/>
      <c r="H93" s="202"/>
      <c r="I93" s="41"/>
    </row>
    <row r="94" spans="1:9" ht="15.75">
      <c r="A94" s="41"/>
      <c r="B94" s="41"/>
      <c r="C94" s="41"/>
      <c r="D94" s="41"/>
      <c r="E94" s="41"/>
      <c r="F94" s="41"/>
      <c r="G94" s="202"/>
      <c r="H94" s="202"/>
      <c r="I94" s="41"/>
    </row>
    <row r="95" spans="1:9" ht="15.75">
      <c r="A95" s="254" t="s">
        <v>69</v>
      </c>
      <c r="B95" s="254"/>
      <c r="C95" s="254"/>
      <c r="D95" s="254"/>
      <c r="E95" s="254"/>
      <c r="F95" s="254"/>
      <c r="G95" s="254"/>
      <c r="H95" s="254"/>
      <c r="I95" s="254"/>
    </row>
    <row r="96" spans="1:9" ht="15.75">
      <c r="A96" s="41"/>
      <c r="B96" s="41"/>
      <c r="C96" s="41"/>
      <c r="D96" s="41"/>
      <c r="E96" s="41"/>
      <c r="F96" s="41"/>
      <c r="G96" s="202"/>
      <c r="H96" s="202"/>
      <c r="I96" s="41"/>
    </row>
    <row r="97" spans="1:9" ht="15.75">
      <c r="A97" s="254" t="s">
        <v>70</v>
      </c>
      <c r="B97" s="254"/>
      <c r="C97" s="254"/>
      <c r="D97" s="254"/>
      <c r="E97" s="254"/>
      <c r="F97" s="254"/>
      <c r="G97" s="254"/>
      <c r="H97" s="254"/>
      <c r="I97" s="254"/>
    </row>
    <row r="98" spans="1:9" ht="16.5" thickBot="1">
      <c r="A98" s="41"/>
      <c r="B98" s="41"/>
      <c r="C98" s="41"/>
      <c r="D98" s="41"/>
      <c r="E98" s="41"/>
      <c r="F98" s="41"/>
      <c r="G98" s="202"/>
      <c r="H98" s="202"/>
      <c r="I98" s="41"/>
    </row>
    <row r="99" spans="1:9" ht="16.5" thickBot="1">
      <c r="A99" s="255" t="s">
        <v>71</v>
      </c>
      <c r="B99" s="256"/>
      <c r="C99" s="256"/>
      <c r="D99" s="256"/>
      <c r="E99" s="257"/>
      <c r="F99" s="41"/>
      <c r="G99" s="202"/>
      <c r="H99" s="202"/>
      <c r="I99" s="41"/>
    </row>
    <row r="100" spans="1:9" ht="48" thickBot="1">
      <c r="A100" s="58" t="s">
        <v>37</v>
      </c>
      <c r="B100" s="59" t="s">
        <v>72</v>
      </c>
      <c r="C100" s="59" t="s">
        <v>73</v>
      </c>
      <c r="D100" s="62" t="s">
        <v>74</v>
      </c>
      <c r="E100" s="60" t="s">
        <v>75</v>
      </c>
      <c r="F100" s="41"/>
      <c r="G100" s="202"/>
      <c r="H100" s="202"/>
      <c r="I100" s="41"/>
    </row>
    <row r="101" spans="1:9" ht="15.75">
      <c r="A101" s="133" t="s">
        <v>35</v>
      </c>
      <c r="B101" s="50">
        <v>4.5</v>
      </c>
      <c r="C101" s="68">
        <v>2</v>
      </c>
      <c r="D101" s="68">
        <v>22</v>
      </c>
      <c r="E101" s="52">
        <f>B101*C101*D101</f>
        <v>198</v>
      </c>
      <c r="F101" s="41"/>
      <c r="G101" s="202"/>
      <c r="H101" s="202"/>
      <c r="I101" s="41"/>
    </row>
    <row r="102" spans="1:9" ht="16.5" thickBot="1">
      <c r="A102" s="41"/>
      <c r="B102" s="41"/>
      <c r="C102" s="41"/>
      <c r="D102" s="41"/>
      <c r="E102" s="41"/>
      <c r="F102" s="41"/>
      <c r="G102" s="202"/>
      <c r="H102" s="202"/>
      <c r="I102" s="41"/>
    </row>
    <row r="103" spans="1:9" ht="16.5" thickBot="1">
      <c r="A103" s="255" t="s">
        <v>76</v>
      </c>
      <c r="B103" s="256"/>
      <c r="C103" s="256"/>
      <c r="D103" s="256"/>
      <c r="E103" s="257"/>
      <c r="F103" s="41"/>
      <c r="G103" s="202"/>
      <c r="H103" s="202"/>
      <c r="I103" s="41"/>
    </row>
    <row r="104" spans="1:9" ht="16.5" thickBot="1">
      <c r="A104" s="58" t="s">
        <v>37</v>
      </c>
      <c r="B104" s="59" t="s">
        <v>38</v>
      </c>
      <c r="C104" s="59" t="s">
        <v>77</v>
      </c>
      <c r="D104" s="59" t="s">
        <v>39</v>
      </c>
      <c r="E104" s="60" t="s">
        <v>78</v>
      </c>
      <c r="F104" s="41"/>
      <c r="G104" s="202"/>
      <c r="H104" s="202"/>
      <c r="I104" s="41"/>
    </row>
    <row r="105" spans="1:9" ht="15.75">
      <c r="A105" s="133" t="s">
        <v>35</v>
      </c>
      <c r="B105" s="50">
        <f>$B$33</f>
        <v>1550</v>
      </c>
      <c r="C105" s="51">
        <v>1</v>
      </c>
      <c r="D105" s="51">
        <v>0.06</v>
      </c>
      <c r="E105" s="52">
        <f>B105*C105*D105</f>
        <v>93</v>
      </c>
      <c r="F105" s="41"/>
      <c r="G105" s="202"/>
      <c r="H105" s="202"/>
      <c r="I105" s="41"/>
    </row>
    <row r="106" spans="1:9" ht="16.5" thickBot="1">
      <c r="A106" s="41"/>
      <c r="B106" s="41"/>
      <c r="C106" s="41"/>
      <c r="D106" s="41"/>
      <c r="E106" s="41"/>
      <c r="F106" s="41"/>
      <c r="G106" s="202"/>
      <c r="H106" s="202"/>
      <c r="I106" s="41"/>
    </row>
    <row r="107" spans="1:9" ht="16.5" thickBot="1">
      <c r="A107" s="255" t="s">
        <v>79</v>
      </c>
      <c r="B107" s="256"/>
      <c r="C107" s="256"/>
      <c r="D107" s="257"/>
      <c r="E107" s="41"/>
      <c r="F107" s="41"/>
      <c r="G107" s="202"/>
      <c r="H107" s="202"/>
      <c r="I107" s="41"/>
    </row>
    <row r="108" spans="1:9" ht="16.5" thickBot="1">
      <c r="A108" s="58" t="s">
        <v>37</v>
      </c>
      <c r="B108" s="59" t="s">
        <v>75</v>
      </c>
      <c r="C108" s="59" t="s">
        <v>80</v>
      </c>
      <c r="D108" s="60" t="s">
        <v>81</v>
      </c>
      <c r="E108" s="41"/>
      <c r="F108" s="41"/>
      <c r="G108" s="202"/>
      <c r="H108" s="202"/>
      <c r="I108" s="41"/>
    </row>
    <row r="109" spans="1:9" ht="15.75">
      <c r="A109" s="133" t="s">
        <v>35</v>
      </c>
      <c r="B109" s="50">
        <f>E101</f>
        <v>198</v>
      </c>
      <c r="C109" s="50">
        <f>E105</f>
        <v>93</v>
      </c>
      <c r="D109" s="52">
        <f>B109-C109</f>
        <v>105</v>
      </c>
      <c r="E109" s="41"/>
      <c r="F109" s="41"/>
      <c r="G109" s="202"/>
      <c r="H109" s="202"/>
      <c r="I109" s="41"/>
    </row>
    <row r="110" spans="1:9" ht="15.75">
      <c r="A110" s="41"/>
      <c r="B110" s="41"/>
      <c r="C110" s="41"/>
      <c r="D110" s="41"/>
      <c r="E110" s="41"/>
      <c r="F110" s="41"/>
      <c r="G110" s="202"/>
      <c r="H110" s="202"/>
      <c r="I110" s="41"/>
    </row>
    <row r="111" spans="1:9" ht="15.75">
      <c r="A111" s="254" t="s">
        <v>82</v>
      </c>
      <c r="B111" s="254"/>
      <c r="C111" s="254"/>
      <c r="D111" s="254"/>
      <c r="E111" s="254"/>
      <c r="F111" s="254"/>
      <c r="G111" s="254"/>
      <c r="H111" s="254"/>
      <c r="I111" s="254"/>
    </row>
    <row r="112" spans="1:9" ht="16.5" thickBot="1">
      <c r="A112" s="41"/>
      <c r="B112" s="41"/>
      <c r="C112" s="41"/>
      <c r="D112" s="41"/>
      <c r="E112" s="41"/>
      <c r="F112" s="41"/>
      <c r="G112" s="202"/>
      <c r="H112" s="202"/>
      <c r="I112" s="41"/>
    </row>
    <row r="113" spans="1:9" ht="16.5" thickBot="1">
      <c r="A113" s="255" t="s">
        <v>82</v>
      </c>
      <c r="B113" s="256"/>
      <c r="C113" s="256"/>
      <c r="D113" s="257"/>
      <c r="E113" s="41"/>
      <c r="F113" s="41"/>
      <c r="G113" s="202"/>
      <c r="H113" s="202"/>
      <c r="I113" s="41"/>
    </row>
    <row r="114" spans="1:9" ht="48" thickBot="1">
      <c r="A114" s="46" t="s">
        <v>37</v>
      </c>
      <c r="B114" s="47" t="s">
        <v>83</v>
      </c>
      <c r="C114" s="55" t="s">
        <v>74</v>
      </c>
      <c r="D114" s="48" t="s">
        <v>40</v>
      </c>
      <c r="E114" s="41"/>
      <c r="F114" s="41"/>
      <c r="G114" s="202"/>
      <c r="H114" s="202"/>
      <c r="I114" s="41"/>
    </row>
    <row r="115" spans="1:9" ht="15.75">
      <c r="A115" s="133" t="s">
        <v>35</v>
      </c>
      <c r="B115" s="193">
        <f>ASG!B115</f>
        <v>23</v>
      </c>
      <c r="C115" s="68">
        <v>22</v>
      </c>
      <c r="D115" s="52">
        <f>B115*C115</f>
        <v>506</v>
      </c>
      <c r="E115" s="41"/>
      <c r="F115" s="41"/>
      <c r="G115" s="202"/>
      <c r="H115" s="202"/>
      <c r="I115" s="41"/>
    </row>
    <row r="116" spans="1:9" ht="16.5" thickBot="1">
      <c r="A116" s="41"/>
      <c r="B116" s="41"/>
      <c r="C116" s="41"/>
      <c r="D116" s="41"/>
      <c r="E116" s="41"/>
      <c r="F116" s="41"/>
      <c r="G116" s="202"/>
      <c r="H116" s="202"/>
      <c r="I116" s="41"/>
    </row>
    <row r="117" spans="1:9" ht="16.5" thickBot="1">
      <c r="A117" s="255" t="s">
        <v>84</v>
      </c>
      <c r="B117" s="256"/>
      <c r="C117" s="256"/>
      <c r="D117" s="257"/>
      <c r="E117" s="41"/>
      <c r="F117" s="41"/>
      <c r="G117" s="202"/>
      <c r="H117" s="202"/>
      <c r="I117" s="41"/>
    </row>
    <row r="118" spans="1:9" ht="16.5" thickBot="1">
      <c r="A118" s="58" t="s">
        <v>37</v>
      </c>
      <c r="B118" s="59" t="s">
        <v>38</v>
      </c>
      <c r="C118" s="59" t="s">
        <v>39</v>
      </c>
      <c r="D118" s="60" t="s">
        <v>78</v>
      </c>
      <c r="E118" s="41"/>
      <c r="F118" s="41"/>
      <c r="G118" s="202"/>
      <c r="H118" s="202"/>
      <c r="I118" s="41"/>
    </row>
    <row r="119" spans="1:9" ht="15.75">
      <c r="A119" s="133" t="s">
        <v>35</v>
      </c>
      <c r="B119" s="50">
        <f>D115</f>
        <v>506</v>
      </c>
      <c r="C119" s="51">
        <v>0.1</v>
      </c>
      <c r="D119" s="52">
        <f>B119*C119</f>
        <v>50.6</v>
      </c>
      <c r="E119" s="41"/>
      <c r="F119" s="41"/>
      <c r="G119" s="202"/>
      <c r="H119" s="202"/>
      <c r="I119" s="41"/>
    </row>
    <row r="120" spans="1:9" ht="16.5" thickBot="1">
      <c r="A120" s="41"/>
      <c r="B120" s="41"/>
      <c r="C120" s="41"/>
      <c r="D120" s="41"/>
      <c r="E120" s="41"/>
      <c r="F120" s="41"/>
      <c r="G120" s="202"/>
      <c r="H120" s="202"/>
      <c r="I120" s="41"/>
    </row>
    <row r="121" spans="1:9" ht="16.5" thickBot="1">
      <c r="A121" s="255" t="s">
        <v>85</v>
      </c>
      <c r="B121" s="256"/>
      <c r="C121" s="256"/>
      <c r="D121" s="257"/>
      <c r="E121" s="41"/>
      <c r="F121" s="41"/>
      <c r="G121" s="202"/>
      <c r="H121" s="202"/>
      <c r="I121" s="41"/>
    </row>
    <row r="122" spans="1:9" ht="16.5" thickBot="1">
      <c r="A122" s="58" t="s">
        <v>37</v>
      </c>
      <c r="B122" s="59" t="s">
        <v>75</v>
      </c>
      <c r="C122" s="59" t="s">
        <v>80</v>
      </c>
      <c r="D122" s="60" t="s">
        <v>81</v>
      </c>
      <c r="E122" s="41"/>
      <c r="F122" s="41"/>
      <c r="G122" s="202"/>
      <c r="H122" s="202"/>
      <c r="I122" s="41"/>
    </row>
    <row r="123" spans="1:9" ht="15.75">
      <c r="A123" s="133" t="s">
        <v>35</v>
      </c>
      <c r="B123" s="50">
        <f>D115</f>
        <v>506</v>
      </c>
      <c r="C123" s="50">
        <f>D119</f>
        <v>50.6</v>
      </c>
      <c r="D123" s="52">
        <f>B123-C123</f>
        <v>455.4</v>
      </c>
      <c r="E123" s="41"/>
      <c r="F123" s="41"/>
      <c r="G123" s="202"/>
      <c r="H123" s="202"/>
      <c r="I123" s="41"/>
    </row>
    <row r="124" spans="1:9" ht="15.75">
      <c r="A124" s="41"/>
      <c r="B124" s="41"/>
      <c r="C124" s="41"/>
      <c r="D124" s="41"/>
      <c r="E124" s="41"/>
      <c r="F124" s="41"/>
      <c r="G124" s="202"/>
      <c r="H124" s="202"/>
      <c r="I124" s="41"/>
    </row>
    <row r="125" spans="1:9" ht="15.75">
      <c r="A125" s="254" t="s">
        <v>86</v>
      </c>
      <c r="B125" s="254"/>
      <c r="C125" s="254"/>
      <c r="D125" s="254"/>
      <c r="E125" s="254"/>
      <c r="F125" s="254"/>
      <c r="G125" s="254"/>
      <c r="H125" s="254"/>
      <c r="I125" s="254"/>
    </row>
    <row r="126" spans="1:9" ht="16.5" thickBot="1">
      <c r="A126" s="41"/>
      <c r="B126" s="41"/>
      <c r="C126" s="41"/>
      <c r="D126" s="41"/>
      <c r="E126" s="41"/>
      <c r="F126" s="41"/>
      <c r="G126" s="202"/>
      <c r="H126" s="202"/>
      <c r="I126" s="41"/>
    </row>
    <row r="127" spans="1:9" ht="16.5" thickBot="1">
      <c r="A127" s="255" t="s">
        <v>87</v>
      </c>
      <c r="B127" s="256"/>
      <c r="C127" s="256"/>
      <c r="D127" s="257"/>
      <c r="E127" s="41"/>
      <c r="F127" s="41"/>
      <c r="G127" s="202"/>
      <c r="H127" s="202"/>
      <c r="I127" s="41"/>
    </row>
    <row r="128" spans="1:9" ht="16.5" thickBot="1">
      <c r="A128" s="58" t="s">
        <v>37</v>
      </c>
      <c r="B128" s="59" t="s">
        <v>38</v>
      </c>
      <c r="C128" s="59" t="s">
        <v>78</v>
      </c>
      <c r="D128" s="60" t="s">
        <v>40</v>
      </c>
      <c r="E128" s="41"/>
      <c r="F128" s="41"/>
      <c r="G128" s="202"/>
      <c r="H128" s="202"/>
      <c r="I128" s="41"/>
    </row>
    <row r="129" spans="1:11" ht="15.75">
      <c r="A129" s="133" t="s">
        <v>35</v>
      </c>
      <c r="B129" s="193">
        <f>ASG!B129</f>
        <v>150</v>
      </c>
      <c r="C129" s="50">
        <v>0</v>
      </c>
      <c r="D129" s="52">
        <f>B129-C129</f>
        <v>150</v>
      </c>
      <c r="E129" s="41"/>
      <c r="F129" s="41"/>
      <c r="G129" s="202"/>
      <c r="H129" s="202"/>
      <c r="I129" s="41"/>
    </row>
    <row r="130" spans="1:11" ht="15.75">
      <c r="A130" s="41"/>
      <c r="B130" s="41"/>
      <c r="C130" s="41"/>
      <c r="D130" s="41"/>
      <c r="E130" s="41"/>
      <c r="F130" s="41"/>
      <c r="G130" s="202"/>
      <c r="H130" s="202"/>
      <c r="I130" s="41"/>
    </row>
    <row r="131" spans="1:11" ht="15.75">
      <c r="A131" s="254" t="s">
        <v>88</v>
      </c>
      <c r="B131" s="254"/>
      <c r="C131" s="254"/>
      <c r="D131" s="254"/>
      <c r="E131" s="254"/>
      <c r="F131" s="254"/>
      <c r="G131" s="254"/>
      <c r="H131" s="254"/>
      <c r="I131" s="254"/>
    </row>
    <row r="132" spans="1:11" ht="16.5" thickBot="1">
      <c r="A132" s="41"/>
      <c r="B132" s="41"/>
      <c r="C132" s="41"/>
      <c r="D132" s="41"/>
      <c r="E132" s="41"/>
      <c r="F132" s="41"/>
      <c r="G132" s="202"/>
      <c r="H132" s="202"/>
      <c r="I132" s="41"/>
    </row>
    <row r="133" spans="1:11" ht="16.5" thickBot="1">
      <c r="A133" s="255" t="s">
        <v>89</v>
      </c>
      <c r="B133" s="256"/>
      <c r="C133" s="256"/>
      <c r="D133" s="257"/>
      <c r="E133" s="41"/>
      <c r="F133" s="41"/>
      <c r="G133" s="202"/>
      <c r="H133" s="202"/>
      <c r="I133" s="41"/>
    </row>
    <row r="134" spans="1:11" ht="16.5" thickBot="1">
      <c r="A134" s="58" t="s">
        <v>37</v>
      </c>
      <c r="B134" s="59" t="s">
        <v>38</v>
      </c>
      <c r="C134" s="59" t="s">
        <v>78</v>
      </c>
      <c r="D134" s="60" t="s">
        <v>40</v>
      </c>
      <c r="E134" s="41"/>
      <c r="F134" s="41"/>
      <c r="G134" s="202"/>
      <c r="H134" s="202"/>
      <c r="I134" s="41"/>
    </row>
    <row r="135" spans="1:11" ht="15.75">
      <c r="A135" s="133" t="s">
        <v>35</v>
      </c>
      <c r="B135" s="193">
        <f>ASG!B135</f>
        <v>15</v>
      </c>
      <c r="C135" s="50">
        <v>0</v>
      </c>
      <c r="D135" s="52">
        <f>B135-C135</f>
        <v>15</v>
      </c>
      <c r="E135" s="41"/>
      <c r="F135" s="41"/>
      <c r="G135" s="202"/>
      <c r="H135" s="202"/>
      <c r="I135" s="41"/>
    </row>
    <row r="136" spans="1:11" ht="15.75">
      <c r="A136" s="203"/>
      <c r="B136" s="204"/>
      <c r="C136" s="205"/>
      <c r="D136" s="206"/>
      <c r="E136" s="191"/>
      <c r="F136" s="191"/>
      <c r="G136" s="202"/>
      <c r="H136" s="202"/>
      <c r="I136" s="191"/>
    </row>
    <row r="137" spans="1:11" ht="16.5" thickBot="1">
      <c r="A137" s="254" t="s">
        <v>410</v>
      </c>
      <c r="B137" s="254"/>
      <c r="C137" s="254"/>
      <c r="D137" s="254"/>
      <c r="E137" s="254"/>
      <c r="F137" s="254"/>
      <c r="G137" s="254"/>
      <c r="H137" s="254"/>
      <c r="I137" s="254"/>
    </row>
    <row r="138" spans="1:11" ht="16.5" thickBot="1">
      <c r="A138" s="255" t="s">
        <v>411</v>
      </c>
      <c r="B138" s="256"/>
      <c r="C138" s="256"/>
      <c r="D138" s="257"/>
      <c r="E138" s="190"/>
      <c r="F138" s="190"/>
      <c r="G138" s="201"/>
      <c r="H138" s="201"/>
      <c r="I138" s="190"/>
    </row>
    <row r="139" spans="1:11" ht="16.5" thickBot="1">
      <c r="A139" s="58" t="s">
        <v>37</v>
      </c>
      <c r="B139" s="59" t="s">
        <v>38</v>
      </c>
      <c r="C139" s="59" t="s">
        <v>78</v>
      </c>
      <c r="D139" s="60" t="s">
        <v>40</v>
      </c>
      <c r="E139" s="190"/>
      <c r="F139" s="190"/>
      <c r="G139" s="201"/>
      <c r="H139" s="201"/>
      <c r="I139" s="190"/>
    </row>
    <row r="140" spans="1:11" ht="15.75">
      <c r="A140" s="133" t="s">
        <v>35</v>
      </c>
      <c r="B140" s="193">
        <v>15</v>
      </c>
      <c r="C140" s="50">
        <v>0</v>
      </c>
      <c r="D140" s="52">
        <f>B140-C140</f>
        <v>15</v>
      </c>
      <c r="E140" s="191"/>
      <c r="F140" s="191"/>
      <c r="G140" s="202"/>
      <c r="H140" s="202"/>
      <c r="I140" s="191"/>
    </row>
    <row r="141" spans="1:11" ht="15.75">
      <c r="A141" s="203"/>
      <c r="B141" s="208"/>
      <c r="C141" s="205"/>
      <c r="D141" s="206"/>
      <c r="E141" s="202"/>
      <c r="F141" s="202"/>
      <c r="G141" s="202"/>
      <c r="H141" s="202"/>
      <c r="I141" s="202"/>
      <c r="J141" s="202"/>
      <c r="K141" s="202"/>
    </row>
    <row r="142" spans="1:11" ht="15.75">
      <c r="A142" s="254" t="s">
        <v>412</v>
      </c>
      <c r="B142" s="254"/>
      <c r="C142" s="254"/>
      <c r="D142" s="254"/>
      <c r="E142" s="254"/>
      <c r="F142" s="254"/>
      <c r="G142" s="254"/>
      <c r="H142" s="254"/>
      <c r="I142" s="254"/>
      <c r="J142" s="254"/>
      <c r="K142" s="254"/>
    </row>
    <row r="143" spans="1:11" ht="16.5" thickBot="1">
      <c r="A143" s="202"/>
      <c r="B143" s="202"/>
      <c r="C143" s="202"/>
      <c r="D143" s="202"/>
      <c r="E143" s="202"/>
      <c r="F143" s="202"/>
      <c r="G143" s="202"/>
      <c r="H143" s="202"/>
      <c r="I143" s="202"/>
      <c r="J143" s="202"/>
      <c r="K143" s="202"/>
    </row>
    <row r="144" spans="1:11" ht="16.5" thickBot="1">
      <c r="A144" s="255" t="s">
        <v>413</v>
      </c>
      <c r="B144" s="256"/>
      <c r="C144" s="256"/>
      <c r="D144" s="257"/>
      <c r="E144" s="202"/>
      <c r="F144" s="202"/>
      <c r="G144" s="202"/>
      <c r="H144" s="202"/>
      <c r="I144" s="202"/>
      <c r="J144" s="202"/>
      <c r="K144" s="202"/>
    </row>
    <row r="145" spans="1:11" ht="16.5" thickBot="1">
      <c r="A145" s="58" t="s">
        <v>37</v>
      </c>
      <c r="B145" s="59" t="s">
        <v>38</v>
      </c>
      <c r="C145" s="59" t="s">
        <v>78</v>
      </c>
      <c r="D145" s="60" t="s">
        <v>40</v>
      </c>
      <c r="E145" s="202"/>
      <c r="F145" s="202"/>
      <c r="G145" s="202"/>
      <c r="H145" s="202"/>
      <c r="I145" s="202"/>
      <c r="J145" s="202"/>
      <c r="K145" s="202"/>
    </row>
    <row r="146" spans="1:11" ht="15.75">
      <c r="A146" s="133" t="s">
        <v>35</v>
      </c>
      <c r="B146" s="182">
        <v>10</v>
      </c>
      <c r="C146" s="50">
        <v>0</v>
      </c>
      <c r="D146" s="52">
        <f>B146-C146</f>
        <v>10</v>
      </c>
      <c r="E146" s="202"/>
      <c r="F146" s="202"/>
      <c r="G146" s="202"/>
      <c r="H146" s="202"/>
      <c r="I146" s="202"/>
      <c r="J146" s="202"/>
      <c r="K146" s="202"/>
    </row>
    <row r="147" spans="1:11" ht="15.75">
      <c r="A147" s="41"/>
      <c r="B147" s="41"/>
      <c r="C147" s="41"/>
      <c r="D147" s="41"/>
      <c r="E147" s="41"/>
      <c r="F147" s="41"/>
      <c r="G147" s="202"/>
      <c r="H147" s="202"/>
      <c r="I147" s="41"/>
    </row>
    <row r="148" spans="1:11" ht="15.75">
      <c r="A148" s="264" t="s">
        <v>69</v>
      </c>
      <c r="B148" s="265"/>
      <c r="C148" s="265"/>
      <c r="D148" s="265"/>
      <c r="E148" s="265"/>
      <c r="F148" s="265"/>
      <c r="G148" s="265"/>
      <c r="H148" s="265"/>
      <c r="I148" s="265"/>
    </row>
    <row r="149" spans="1:11" ht="16.5" thickBot="1">
      <c r="A149" s="58" t="s">
        <v>37</v>
      </c>
      <c r="B149" s="59" t="s">
        <v>90</v>
      </c>
      <c r="C149" s="59" t="s">
        <v>91</v>
      </c>
      <c r="D149" s="59" t="s">
        <v>92</v>
      </c>
      <c r="E149" s="59" t="s">
        <v>93</v>
      </c>
      <c r="F149" s="59" t="s">
        <v>414</v>
      </c>
      <c r="G149" s="211" t="s">
        <v>415</v>
      </c>
      <c r="H149" s="60" t="s">
        <v>44</v>
      </c>
    </row>
    <row r="150" spans="1:11" ht="15.75">
      <c r="A150" s="133" t="s">
        <v>35</v>
      </c>
      <c r="B150" s="50">
        <f>D109</f>
        <v>105</v>
      </c>
      <c r="C150" s="50">
        <f>D123</f>
        <v>455.4</v>
      </c>
      <c r="D150" s="50">
        <f>D129</f>
        <v>150</v>
      </c>
      <c r="E150" s="50">
        <f>D135</f>
        <v>15</v>
      </c>
      <c r="F150" s="50">
        <f>D140</f>
        <v>15</v>
      </c>
      <c r="G150" s="212">
        <f>D146</f>
        <v>10</v>
      </c>
      <c r="H150" s="52">
        <f>SUM(B150:G150)</f>
        <v>750.4</v>
      </c>
    </row>
    <row r="151" spans="1:11" ht="15.75">
      <c r="A151" s="41"/>
      <c r="B151" s="41"/>
      <c r="C151" s="41"/>
      <c r="D151" s="41"/>
      <c r="E151" s="41"/>
      <c r="F151" s="41"/>
      <c r="G151" s="202"/>
      <c r="H151" s="202"/>
      <c r="I151" s="41"/>
    </row>
    <row r="152" spans="1:11" ht="15.75">
      <c r="A152" s="254" t="s">
        <v>94</v>
      </c>
      <c r="B152" s="254"/>
      <c r="C152" s="254"/>
      <c r="D152" s="254"/>
      <c r="E152" s="254"/>
      <c r="F152" s="254"/>
      <c r="G152" s="254"/>
      <c r="H152" s="254"/>
      <c r="I152" s="254"/>
    </row>
    <row r="153" spans="1:11" ht="16.5" thickBot="1">
      <c r="A153" s="41"/>
      <c r="B153" s="41"/>
      <c r="C153" s="41"/>
      <c r="D153" s="41"/>
      <c r="E153" s="41"/>
      <c r="F153" s="41"/>
      <c r="G153" s="202"/>
      <c r="H153" s="202"/>
      <c r="I153" s="41"/>
    </row>
    <row r="154" spans="1:11" ht="16.5" thickBot="1">
      <c r="A154" s="255" t="s">
        <v>94</v>
      </c>
      <c r="B154" s="256"/>
      <c r="C154" s="256"/>
      <c r="D154" s="256"/>
      <c r="E154" s="257"/>
      <c r="F154" s="41"/>
      <c r="G154" s="202"/>
      <c r="H154" s="202"/>
      <c r="I154" s="41"/>
    </row>
    <row r="155" spans="1:11" ht="16.5" thickBot="1">
      <c r="A155" s="58" t="s">
        <v>37</v>
      </c>
      <c r="B155" s="59" t="s">
        <v>95</v>
      </c>
      <c r="C155" s="59" t="s">
        <v>96</v>
      </c>
      <c r="D155" s="59" t="s">
        <v>97</v>
      </c>
      <c r="E155" s="60" t="s">
        <v>44</v>
      </c>
      <c r="F155" s="41"/>
      <c r="G155" s="202"/>
      <c r="H155" s="202"/>
      <c r="I155" s="41"/>
    </row>
    <row r="156" spans="1:11" ht="15.75">
      <c r="A156" s="133" t="s">
        <v>35</v>
      </c>
      <c r="B156" s="50">
        <f>E67</f>
        <v>419.35369017466661</v>
      </c>
      <c r="C156" s="50">
        <f>D93</f>
        <v>948.17175798427729</v>
      </c>
      <c r="D156" s="50">
        <f>H150</f>
        <v>750.4</v>
      </c>
      <c r="E156" s="52">
        <f>SUM(B156:D156)</f>
        <v>2117.9254481589437</v>
      </c>
      <c r="F156" s="41"/>
      <c r="G156" s="202"/>
      <c r="H156" s="202"/>
      <c r="I156" s="41"/>
    </row>
    <row r="157" spans="1:11" ht="15.75">
      <c r="A157" s="41"/>
      <c r="B157" s="41"/>
      <c r="C157" s="41"/>
      <c r="D157" s="41"/>
      <c r="E157" s="41"/>
      <c r="F157" s="41"/>
      <c r="G157" s="202"/>
      <c r="H157" s="202"/>
      <c r="I157" s="41"/>
    </row>
    <row r="158" spans="1:11" ht="15.75">
      <c r="A158" s="254" t="s">
        <v>98</v>
      </c>
      <c r="B158" s="254"/>
      <c r="C158" s="254"/>
      <c r="D158" s="254"/>
      <c r="E158" s="254"/>
      <c r="F158" s="254"/>
      <c r="G158" s="254"/>
      <c r="H158" s="254"/>
      <c r="I158" s="254"/>
    </row>
    <row r="159" spans="1:11" ht="16.5" thickBot="1">
      <c r="A159" s="41"/>
      <c r="B159" s="41"/>
      <c r="C159" s="41"/>
      <c r="D159" s="41"/>
      <c r="E159" s="41"/>
      <c r="F159" s="41"/>
      <c r="G159" s="202"/>
      <c r="H159" s="202"/>
      <c r="I159" s="41"/>
    </row>
    <row r="160" spans="1:11" ht="37.9" customHeight="1" thickBot="1">
      <c r="A160" s="252" t="s">
        <v>99</v>
      </c>
      <c r="B160" s="253"/>
      <c r="C160" s="41"/>
      <c r="D160" s="41"/>
      <c r="E160" s="41"/>
      <c r="F160" s="41"/>
      <c r="G160" s="202"/>
      <c r="H160" s="202"/>
      <c r="I160" s="41"/>
    </row>
    <row r="161" spans="1:9" ht="16.5" thickBot="1">
      <c r="A161" s="43" t="s">
        <v>100</v>
      </c>
      <c r="B161" s="45" t="s">
        <v>39</v>
      </c>
      <c r="C161" s="41"/>
      <c r="D161" s="41"/>
      <c r="E161" s="41"/>
      <c r="F161" s="41"/>
      <c r="G161" s="202"/>
      <c r="H161" s="202"/>
      <c r="I161" s="41"/>
    </row>
    <row r="162" spans="1:9" ht="31.5">
      <c r="A162" s="70" t="s">
        <v>101</v>
      </c>
      <c r="B162" s="71">
        <v>0.83850000000000002</v>
      </c>
      <c r="C162" s="41"/>
      <c r="D162" s="41"/>
      <c r="E162" s="41"/>
      <c r="F162" s="41"/>
      <c r="G162" s="202"/>
      <c r="H162" s="202"/>
      <c r="I162" s="41"/>
    </row>
    <row r="163" spans="1:9" ht="31.5">
      <c r="A163" s="72" t="s">
        <v>102</v>
      </c>
      <c r="B163" s="194">
        <f>ASG!B164</f>
        <v>4.1666666666666666E-3</v>
      </c>
      <c r="C163" s="173" t="s">
        <v>409</v>
      </c>
      <c r="D163" s="41"/>
      <c r="E163" s="41"/>
      <c r="F163" s="41"/>
      <c r="G163" s="202"/>
      <c r="H163" s="202"/>
      <c r="I163" s="41"/>
    </row>
    <row r="164" spans="1:9" ht="31.5">
      <c r="A164" s="72" t="s">
        <v>103</v>
      </c>
      <c r="B164" s="194">
        <f>ASG!B165</f>
        <v>1.9444444444444445E-2</v>
      </c>
      <c r="C164" s="173" t="s">
        <v>408</v>
      </c>
      <c r="D164" s="41"/>
      <c r="E164" s="41"/>
      <c r="F164" s="41"/>
      <c r="G164" s="202"/>
      <c r="H164" s="202"/>
      <c r="I164" s="41"/>
    </row>
    <row r="165" spans="1:9" ht="31.5">
      <c r="A165" s="72" t="s">
        <v>104</v>
      </c>
      <c r="B165" s="73">
        <v>1.7399999999999999E-2</v>
      </c>
      <c r="C165" s="41"/>
      <c r="D165" s="41"/>
      <c r="E165" s="41"/>
      <c r="F165" s="41"/>
      <c r="G165" s="202"/>
      <c r="H165" s="202"/>
      <c r="I165" s="41"/>
    </row>
    <row r="166" spans="1:9" ht="32.25" thickBot="1">
      <c r="A166" s="74" t="s">
        <v>105</v>
      </c>
      <c r="B166" s="75">
        <v>0.14410000000000001</v>
      </c>
      <c r="C166" s="41"/>
      <c r="D166" s="41"/>
      <c r="E166" s="41"/>
      <c r="F166" s="41"/>
      <c r="G166" s="202"/>
      <c r="H166" s="202"/>
      <c r="I166" s="41"/>
    </row>
    <row r="167" spans="1:9" ht="16.5" thickBot="1">
      <c r="A167" s="43" t="s">
        <v>65</v>
      </c>
      <c r="B167" s="76">
        <f>SUM(B163:B166)</f>
        <v>0.18511111111111112</v>
      </c>
      <c r="C167" s="41"/>
      <c r="D167" s="41"/>
      <c r="E167" s="41"/>
      <c r="F167" s="41"/>
      <c r="G167" s="202"/>
      <c r="H167" s="202"/>
      <c r="I167" s="41"/>
    </row>
    <row r="168" spans="1:9" ht="15.75">
      <c r="A168" s="41"/>
      <c r="B168" s="41"/>
      <c r="C168" s="41"/>
      <c r="D168" s="41"/>
      <c r="E168" s="41"/>
      <c r="F168" s="41"/>
      <c r="G168" s="202"/>
      <c r="H168" s="202"/>
      <c r="I168" s="41"/>
    </row>
    <row r="169" spans="1:9" ht="15.75">
      <c r="A169" s="254" t="s">
        <v>106</v>
      </c>
      <c r="B169" s="254"/>
      <c r="C169" s="254"/>
      <c r="D169" s="254"/>
      <c r="E169" s="254"/>
      <c r="F169" s="254"/>
      <c r="G169" s="254"/>
      <c r="H169" s="254"/>
      <c r="I169" s="254"/>
    </row>
    <row r="170" spans="1:9" ht="16.5" thickBot="1">
      <c r="A170" s="41"/>
      <c r="B170" s="41"/>
      <c r="C170" s="41"/>
      <c r="D170" s="41"/>
      <c r="E170" s="41"/>
      <c r="F170" s="41"/>
      <c r="G170" s="202"/>
      <c r="H170" s="202"/>
      <c r="I170" s="41"/>
    </row>
    <row r="171" spans="1:9" ht="16.5" thickBot="1">
      <c r="A171" s="255" t="s">
        <v>107</v>
      </c>
      <c r="B171" s="256"/>
      <c r="C171" s="256"/>
      <c r="D171" s="257"/>
      <c r="E171" s="301" t="s">
        <v>108</v>
      </c>
      <c r="F171" s="302"/>
      <c r="G171" s="202"/>
      <c r="H171" s="202"/>
      <c r="I171" s="41"/>
    </row>
    <row r="172" spans="1:9" ht="16.5" thickBot="1">
      <c r="A172" s="58" t="s">
        <v>37</v>
      </c>
      <c r="B172" s="59" t="s">
        <v>38</v>
      </c>
      <c r="C172" s="59" t="s">
        <v>109</v>
      </c>
      <c r="D172" s="60" t="s">
        <v>40</v>
      </c>
      <c r="E172" s="41"/>
      <c r="F172" s="41"/>
      <c r="G172" s="202"/>
      <c r="H172" s="202"/>
      <c r="I172" s="41"/>
    </row>
    <row r="173" spans="1:9" ht="15.75">
      <c r="A173" s="133" t="s">
        <v>35</v>
      </c>
      <c r="B173" s="50">
        <f>I47+(E156-D85)</f>
        <v>3533.0779853886397</v>
      </c>
      <c r="C173" s="56">
        <v>12</v>
      </c>
      <c r="D173" s="52">
        <f>B173/C173</f>
        <v>294.42316544905333</v>
      </c>
      <c r="E173" s="41"/>
      <c r="F173" s="41"/>
      <c r="G173" s="202"/>
      <c r="H173" s="202"/>
      <c r="I173" s="41"/>
    </row>
    <row r="174" spans="1:9" ht="16.5" thickBot="1">
      <c r="A174" s="41"/>
      <c r="B174" s="41"/>
      <c r="C174" s="41"/>
      <c r="D174" s="41"/>
      <c r="E174" s="41"/>
      <c r="F174" s="41"/>
      <c r="G174" s="202"/>
      <c r="H174" s="202"/>
      <c r="I174" s="41"/>
    </row>
    <row r="175" spans="1:9" ht="16.5" thickBot="1">
      <c r="A175" s="258" t="s">
        <v>110</v>
      </c>
      <c r="B175" s="259"/>
      <c r="C175" s="259"/>
      <c r="D175" s="260"/>
      <c r="E175" s="77"/>
      <c r="F175" s="41"/>
      <c r="G175" s="202"/>
      <c r="H175" s="202"/>
      <c r="I175" s="41"/>
    </row>
    <row r="176" spans="1:9" ht="32.25" thickBot="1">
      <c r="A176" s="58" t="s">
        <v>37</v>
      </c>
      <c r="B176" s="59" t="s">
        <v>38</v>
      </c>
      <c r="C176" s="78" t="s">
        <v>111</v>
      </c>
      <c r="D176" s="60" t="s">
        <v>40</v>
      </c>
      <c r="E176" s="41"/>
      <c r="F176" s="41"/>
      <c r="G176" s="202"/>
      <c r="H176" s="202"/>
      <c r="I176" s="41"/>
    </row>
    <row r="177" spans="1:10" ht="15.75">
      <c r="A177" s="133" t="s">
        <v>35</v>
      </c>
      <c r="B177" s="50">
        <f>D89</f>
        <v>206.12429521397331</v>
      </c>
      <c r="C177" s="54">
        <v>0.4</v>
      </c>
      <c r="D177" s="52">
        <f>B177*C177</f>
        <v>82.449718085589325</v>
      </c>
      <c r="E177" s="41"/>
      <c r="F177" s="41"/>
      <c r="G177" s="202"/>
      <c r="H177" s="202"/>
      <c r="I177" s="41"/>
    </row>
    <row r="178" spans="1:10" ht="16.5" thickBot="1">
      <c r="A178" s="41"/>
      <c r="B178" s="41"/>
      <c r="C178" s="41"/>
      <c r="D178" s="41"/>
      <c r="E178" s="41"/>
      <c r="F178" s="41"/>
      <c r="G178" s="202"/>
      <c r="H178" s="202"/>
      <c r="I178" s="41"/>
    </row>
    <row r="179" spans="1:10" ht="16.5" thickBot="1">
      <c r="A179" s="255" t="s">
        <v>112</v>
      </c>
      <c r="B179" s="256"/>
      <c r="C179" s="256"/>
      <c r="D179" s="257"/>
      <c r="E179" s="41"/>
      <c r="F179" s="41"/>
      <c r="G179" s="202"/>
      <c r="H179" s="202"/>
      <c r="I179" s="41"/>
    </row>
    <row r="180" spans="1:10" ht="16.5" thickBot="1">
      <c r="A180" s="58" t="s">
        <v>37</v>
      </c>
      <c r="B180" s="59" t="s">
        <v>38</v>
      </c>
      <c r="C180" s="59" t="s">
        <v>39</v>
      </c>
      <c r="D180" s="60" t="s">
        <v>40</v>
      </c>
      <c r="E180" s="41"/>
      <c r="F180" s="41"/>
      <c r="G180" s="202"/>
      <c r="H180" s="202"/>
      <c r="I180" s="41"/>
    </row>
    <row r="181" spans="1:10" ht="15.75">
      <c r="A181" s="133" t="s">
        <v>35</v>
      </c>
      <c r="B181" s="50">
        <f>D173+D177</f>
        <v>376.87288353464265</v>
      </c>
      <c r="C181" s="196">
        <f>$B$163</f>
        <v>4.1666666666666666E-3</v>
      </c>
      <c r="D181" s="52">
        <f>B181*C181</f>
        <v>1.5703036813943443</v>
      </c>
      <c r="E181" s="41"/>
      <c r="F181" s="41"/>
      <c r="G181" s="202"/>
      <c r="H181" s="202"/>
      <c r="I181" s="41"/>
    </row>
    <row r="182" spans="1:10" ht="15.75">
      <c r="A182" s="41"/>
      <c r="B182" s="41"/>
      <c r="C182" s="41"/>
      <c r="D182" s="41"/>
      <c r="E182" s="41"/>
      <c r="F182" s="41"/>
      <c r="G182" s="202"/>
      <c r="H182" s="202"/>
      <c r="I182" s="41"/>
    </row>
    <row r="183" spans="1:10" ht="15.75">
      <c r="A183" s="254" t="s">
        <v>113</v>
      </c>
      <c r="B183" s="254"/>
      <c r="C183" s="254"/>
      <c r="D183" s="254"/>
      <c r="E183" s="254"/>
      <c r="F183" s="254"/>
      <c r="G183" s="254"/>
      <c r="H183" s="254"/>
      <c r="I183" s="254"/>
    </row>
    <row r="184" spans="1:10" ht="16.5" customHeight="1" thickBot="1">
      <c r="A184" s="41"/>
      <c r="B184" s="41"/>
      <c r="C184" s="41"/>
      <c r="D184" s="41"/>
      <c r="E184" s="41"/>
      <c r="F184" s="303" t="s">
        <v>407</v>
      </c>
      <c r="G184" s="303"/>
      <c r="H184" s="303"/>
      <c r="I184" s="303"/>
      <c r="J184" s="180"/>
    </row>
    <row r="185" spans="1:10" ht="16.5" thickBot="1">
      <c r="A185" s="255" t="s">
        <v>114</v>
      </c>
      <c r="B185" s="256"/>
      <c r="C185" s="256"/>
      <c r="D185" s="257"/>
      <c r="E185" s="41"/>
      <c r="F185" s="303"/>
      <c r="G185" s="303"/>
      <c r="H185" s="303"/>
      <c r="I185" s="303"/>
      <c r="J185" s="180"/>
    </row>
    <row r="186" spans="1:10" ht="16.5" thickBot="1">
      <c r="A186" s="58" t="s">
        <v>37</v>
      </c>
      <c r="B186" s="59" t="s">
        <v>38</v>
      </c>
      <c r="C186" s="59" t="s">
        <v>109</v>
      </c>
      <c r="D186" s="60" t="s">
        <v>40</v>
      </c>
      <c r="E186" s="41"/>
      <c r="F186" s="303"/>
      <c r="G186" s="303"/>
      <c r="H186" s="303"/>
      <c r="I186" s="303"/>
      <c r="J186" s="180"/>
    </row>
    <row r="187" spans="1:10" ht="15.75">
      <c r="A187" s="133" t="s">
        <v>35</v>
      </c>
      <c r="B187" s="50">
        <f>I47+E156</f>
        <v>4275.125448158944</v>
      </c>
      <c r="C187" s="56">
        <v>12</v>
      </c>
      <c r="D187" s="52">
        <f>B187/C187</f>
        <v>356.26045401324535</v>
      </c>
      <c r="E187" s="41"/>
      <c r="F187" s="303"/>
      <c r="G187" s="303"/>
      <c r="H187" s="303"/>
      <c r="I187" s="303"/>
      <c r="J187" s="180"/>
    </row>
    <row r="188" spans="1:10" ht="16.5" thickBot="1">
      <c r="A188" s="41"/>
      <c r="B188" s="41"/>
      <c r="C188" s="41"/>
      <c r="D188" s="41"/>
      <c r="E188" s="41"/>
      <c r="F188" s="303"/>
      <c r="G188" s="303"/>
      <c r="H188" s="303"/>
      <c r="I188" s="303"/>
      <c r="J188" s="180"/>
    </row>
    <row r="189" spans="1:10" ht="16.5" thickBot="1">
      <c r="A189" s="258" t="s">
        <v>115</v>
      </c>
      <c r="B189" s="259"/>
      <c r="C189" s="259"/>
      <c r="D189" s="260"/>
      <c r="E189" s="41"/>
      <c r="F189" s="303"/>
      <c r="G189" s="303"/>
      <c r="H189" s="303"/>
      <c r="I189" s="303"/>
      <c r="J189" s="180"/>
    </row>
    <row r="190" spans="1:10" ht="32.25" thickBot="1">
      <c r="A190" s="58" t="s">
        <v>37</v>
      </c>
      <c r="B190" s="59" t="s">
        <v>38</v>
      </c>
      <c r="C190" s="78" t="s">
        <v>111</v>
      </c>
      <c r="D190" s="60" t="s">
        <v>40</v>
      </c>
      <c r="E190" s="41"/>
      <c r="F190" s="303"/>
      <c r="G190" s="303"/>
      <c r="H190" s="303"/>
      <c r="I190" s="303"/>
      <c r="J190" s="180"/>
    </row>
    <row r="191" spans="1:10" ht="15.75">
      <c r="A191" s="133" t="s">
        <v>35</v>
      </c>
      <c r="B191" s="50">
        <f>D89</f>
        <v>206.12429521397331</v>
      </c>
      <c r="C191" s="51">
        <v>0.4</v>
      </c>
      <c r="D191" s="52">
        <f>B191*C191</f>
        <v>82.449718085589325</v>
      </c>
      <c r="E191" s="41"/>
      <c r="F191" s="303"/>
      <c r="G191" s="303"/>
      <c r="H191" s="303"/>
      <c r="I191" s="303"/>
      <c r="J191" s="180"/>
    </row>
    <row r="192" spans="1:10" ht="16.5" thickBot="1">
      <c r="A192" s="41"/>
      <c r="B192" s="41"/>
      <c r="C192" s="41"/>
      <c r="D192" s="41"/>
      <c r="E192" s="41"/>
      <c r="F192" s="303"/>
      <c r="G192" s="303"/>
      <c r="H192" s="303"/>
      <c r="I192" s="303"/>
      <c r="J192" s="180"/>
    </row>
    <row r="193" spans="1:10" ht="16.5" thickBot="1">
      <c r="A193" s="255" t="s">
        <v>116</v>
      </c>
      <c r="B193" s="256"/>
      <c r="C193" s="256"/>
      <c r="D193" s="257"/>
      <c r="E193" s="41"/>
      <c r="F193" s="303"/>
      <c r="G193" s="303"/>
      <c r="H193" s="303"/>
      <c r="I193" s="303"/>
      <c r="J193" s="180"/>
    </row>
    <row r="194" spans="1:10" ht="16.5" thickBot="1">
      <c r="A194" s="58" t="s">
        <v>37</v>
      </c>
      <c r="B194" s="59" t="s">
        <v>38</v>
      </c>
      <c r="C194" s="59" t="s">
        <v>39</v>
      </c>
      <c r="D194" s="60" t="s">
        <v>40</v>
      </c>
      <c r="E194" s="41"/>
      <c r="F194" s="303"/>
      <c r="G194" s="303"/>
      <c r="H194" s="303"/>
      <c r="I194" s="303"/>
      <c r="J194" s="180"/>
    </row>
    <row r="195" spans="1:10" ht="15.75">
      <c r="A195" s="133" t="s">
        <v>35</v>
      </c>
      <c r="B195" s="50">
        <f>D187+D191</f>
        <v>438.71017209883468</v>
      </c>
      <c r="C195" s="196">
        <f>$B$164</f>
        <v>1.9444444444444445E-2</v>
      </c>
      <c r="D195" s="52">
        <f>B195*C195</f>
        <v>8.5304755685884519</v>
      </c>
      <c r="E195" s="41"/>
      <c r="F195" s="303"/>
      <c r="G195" s="303"/>
      <c r="H195" s="303"/>
      <c r="I195" s="303"/>
      <c r="J195" s="180"/>
    </row>
    <row r="196" spans="1:10" ht="15.75">
      <c r="A196" s="41"/>
      <c r="B196" s="41"/>
      <c r="C196" s="41"/>
      <c r="D196" s="41"/>
      <c r="E196" s="41"/>
      <c r="F196" s="303"/>
      <c r="G196" s="303"/>
      <c r="H196" s="303"/>
      <c r="I196" s="303"/>
      <c r="J196" s="180"/>
    </row>
    <row r="197" spans="1:10" ht="15.75">
      <c r="A197" s="254" t="s">
        <v>117</v>
      </c>
      <c r="B197" s="254"/>
      <c r="C197" s="254"/>
      <c r="D197" s="254"/>
      <c r="E197" s="254"/>
      <c r="F197" s="254"/>
      <c r="G197" s="254"/>
      <c r="H197" s="254"/>
      <c r="I197" s="254"/>
    </row>
    <row r="198" spans="1:10" ht="16.5" thickBot="1">
      <c r="A198" s="41"/>
      <c r="B198" s="41"/>
      <c r="C198" s="41"/>
      <c r="D198" s="41"/>
      <c r="E198" s="41"/>
      <c r="F198" s="41"/>
      <c r="G198" s="202"/>
      <c r="H198" s="202"/>
      <c r="I198" s="41"/>
    </row>
    <row r="199" spans="1:10" ht="16.5" thickBot="1">
      <c r="A199" s="255" t="s">
        <v>118</v>
      </c>
      <c r="B199" s="256"/>
      <c r="C199" s="256"/>
      <c r="D199" s="256"/>
      <c r="E199" s="257"/>
      <c r="F199" s="41"/>
      <c r="G199" s="202"/>
      <c r="H199" s="202"/>
      <c r="I199" s="41"/>
    </row>
    <row r="200" spans="1:10" ht="63.75" thickBot="1">
      <c r="A200" s="58" t="s">
        <v>37</v>
      </c>
      <c r="B200" s="62" t="s">
        <v>119</v>
      </c>
      <c r="C200" s="62" t="s">
        <v>120</v>
      </c>
      <c r="D200" s="62" t="s">
        <v>121</v>
      </c>
      <c r="E200" s="60" t="s">
        <v>40</v>
      </c>
      <c r="F200" s="41"/>
      <c r="G200" s="202"/>
      <c r="H200" s="202"/>
      <c r="I200" s="41"/>
    </row>
    <row r="201" spans="1:10" ht="15.75">
      <c r="A201" s="133" t="s">
        <v>35</v>
      </c>
      <c r="B201" s="79">
        <f>-D63</f>
        <v>-179.76666666666665</v>
      </c>
      <c r="C201" s="79">
        <f>-E59</f>
        <v>-59.892263507999992</v>
      </c>
      <c r="D201" s="79">
        <f>-D55</f>
        <v>-179.69475999999997</v>
      </c>
      <c r="E201" s="80">
        <f>SUM(B201:D201)</f>
        <v>-419.35369017466661</v>
      </c>
      <c r="F201" s="41"/>
      <c r="G201" s="202"/>
      <c r="H201" s="202"/>
      <c r="I201" s="41"/>
    </row>
    <row r="202" spans="1:10" ht="16.5" thickBot="1">
      <c r="A202" s="41"/>
      <c r="B202" s="41"/>
      <c r="C202" s="41"/>
      <c r="D202" s="41"/>
      <c r="E202" s="41"/>
      <c r="F202" s="41"/>
      <c r="G202" s="202"/>
      <c r="H202" s="202"/>
      <c r="I202" s="41"/>
    </row>
    <row r="203" spans="1:10" ht="16.5" thickBot="1">
      <c r="A203" s="255" t="s">
        <v>122</v>
      </c>
      <c r="B203" s="256"/>
      <c r="C203" s="256"/>
      <c r="D203" s="257"/>
      <c r="E203" s="41"/>
      <c r="F203" s="41"/>
      <c r="G203" s="202"/>
      <c r="H203" s="202"/>
      <c r="I203" s="41"/>
    </row>
    <row r="204" spans="1:10" ht="16.5" thickBot="1">
      <c r="A204" s="58" t="s">
        <v>37</v>
      </c>
      <c r="B204" s="59" t="s">
        <v>123</v>
      </c>
      <c r="C204" s="59" t="s">
        <v>39</v>
      </c>
      <c r="D204" s="60" t="s">
        <v>40</v>
      </c>
      <c r="E204" s="41"/>
      <c r="F204" s="41"/>
      <c r="G204" s="202"/>
      <c r="H204" s="202"/>
      <c r="I204" s="41"/>
    </row>
    <row r="205" spans="1:10" ht="15.75">
      <c r="A205" s="133" t="s">
        <v>35</v>
      </c>
      <c r="B205" s="79">
        <f>E201</f>
        <v>-419.35369017466661</v>
      </c>
      <c r="C205" s="61">
        <f>B165</f>
        <v>1.7399999999999999E-2</v>
      </c>
      <c r="D205" s="80">
        <f>B205*C205</f>
        <v>-7.2967542090391984</v>
      </c>
      <c r="E205" s="41"/>
      <c r="F205" s="41"/>
      <c r="G205" s="202"/>
      <c r="H205" s="202"/>
      <c r="I205" s="41"/>
    </row>
    <row r="206" spans="1:10" ht="15.75">
      <c r="A206" s="41"/>
      <c r="B206" s="41"/>
      <c r="C206" s="41"/>
      <c r="D206" s="41"/>
      <c r="E206" s="41"/>
      <c r="F206" s="41"/>
      <c r="G206" s="202"/>
      <c r="H206" s="202"/>
      <c r="I206" s="41"/>
    </row>
    <row r="207" spans="1:10" ht="15.75">
      <c r="A207" s="254" t="s">
        <v>98</v>
      </c>
      <c r="B207" s="254"/>
      <c r="C207" s="254"/>
      <c r="D207" s="254"/>
      <c r="E207" s="254"/>
      <c r="F207" s="254"/>
      <c r="G207" s="254"/>
      <c r="H207" s="254"/>
      <c r="I207" s="254"/>
    </row>
    <row r="208" spans="1:10" ht="16.5" thickBot="1">
      <c r="A208" s="41"/>
      <c r="B208" s="41"/>
      <c r="C208" s="41"/>
      <c r="D208" s="41"/>
      <c r="E208" s="41"/>
      <c r="F208" s="41"/>
      <c r="G208" s="202"/>
      <c r="H208" s="202"/>
      <c r="I208" s="41"/>
    </row>
    <row r="209" spans="1:9" ht="16.5" thickBot="1">
      <c r="A209" s="255" t="s">
        <v>98</v>
      </c>
      <c r="B209" s="256"/>
      <c r="C209" s="256"/>
      <c r="D209" s="256"/>
      <c r="E209" s="257"/>
      <c r="F209" s="41"/>
      <c r="G209" s="202"/>
      <c r="H209" s="202"/>
      <c r="I209" s="41"/>
    </row>
    <row r="210" spans="1:9" ht="16.5" thickBot="1">
      <c r="A210" s="58" t="s">
        <v>37</v>
      </c>
      <c r="B210" s="59" t="s">
        <v>124</v>
      </c>
      <c r="C210" s="59" t="s">
        <v>125</v>
      </c>
      <c r="D210" s="59" t="s">
        <v>126</v>
      </c>
      <c r="E210" s="60" t="s">
        <v>44</v>
      </c>
      <c r="F210" s="41"/>
      <c r="G210" s="202"/>
      <c r="H210" s="202"/>
      <c r="I210" s="41"/>
    </row>
    <row r="211" spans="1:9" ht="15.75">
      <c r="A211" s="133" t="s">
        <v>35</v>
      </c>
      <c r="B211" s="50">
        <f>D181</f>
        <v>1.5703036813943443</v>
      </c>
      <c r="C211" s="50">
        <f>D195</f>
        <v>8.5304755685884519</v>
      </c>
      <c r="D211" s="79">
        <f>D205</f>
        <v>-7.2967542090391984</v>
      </c>
      <c r="E211" s="52">
        <f>SUM(B211:D211)</f>
        <v>2.8040250409435981</v>
      </c>
      <c r="F211" s="41"/>
      <c r="G211" s="202"/>
      <c r="H211" s="202"/>
      <c r="I211" s="41"/>
    </row>
    <row r="212" spans="1:9" ht="15.75">
      <c r="A212" s="41"/>
      <c r="B212" s="41"/>
      <c r="C212" s="41"/>
      <c r="D212" s="41"/>
      <c r="E212" s="41"/>
      <c r="F212" s="41"/>
      <c r="G212" s="202"/>
      <c r="H212" s="202"/>
      <c r="I212" s="41"/>
    </row>
    <row r="213" spans="1:9" ht="15.75">
      <c r="A213" s="254" t="s">
        <v>127</v>
      </c>
      <c r="B213" s="254"/>
      <c r="C213" s="254"/>
      <c r="D213" s="254"/>
      <c r="E213" s="254"/>
      <c r="F213" s="254"/>
      <c r="G213" s="254"/>
      <c r="H213" s="254"/>
      <c r="I213" s="254"/>
    </row>
    <row r="214" spans="1:9" ht="16.5" thickBot="1">
      <c r="A214" s="41"/>
      <c r="B214" s="41"/>
      <c r="C214" s="41"/>
      <c r="D214" s="41"/>
      <c r="E214" s="41"/>
      <c r="F214" s="41"/>
      <c r="G214" s="202"/>
      <c r="H214" s="202"/>
      <c r="I214" s="41"/>
    </row>
    <row r="215" spans="1:9" ht="16.5" thickBot="1">
      <c r="A215" s="258" t="s">
        <v>128</v>
      </c>
      <c r="B215" s="259"/>
      <c r="C215" s="259"/>
      <c r="D215" s="259"/>
      <c r="E215" s="260"/>
    </row>
    <row r="216" spans="1:9" ht="16.149999999999999" customHeight="1" thickBot="1">
      <c r="A216" s="258" t="s">
        <v>129</v>
      </c>
      <c r="B216" s="259"/>
      <c r="C216" s="259"/>
      <c r="D216" s="259"/>
      <c r="E216" s="260"/>
    </row>
    <row r="217" spans="1:9" ht="16.5" thickBot="1">
      <c r="A217" s="299" t="s">
        <v>37</v>
      </c>
      <c r="B217" s="299" t="s">
        <v>130</v>
      </c>
      <c r="C217" s="299" t="s">
        <v>131</v>
      </c>
      <c r="D217" s="258" t="s">
        <v>132</v>
      </c>
      <c r="E217" s="260"/>
    </row>
    <row r="218" spans="1:9" ht="32.25" thickBot="1">
      <c r="A218" s="300"/>
      <c r="B218" s="300"/>
      <c r="C218" s="300"/>
      <c r="D218" s="81" t="s">
        <v>133</v>
      </c>
      <c r="E218" s="81" t="s">
        <v>134</v>
      </c>
    </row>
    <row r="219" spans="1:9" ht="16.5" thickBot="1">
      <c r="A219" s="82" t="s">
        <v>135</v>
      </c>
      <c r="B219" s="83">
        <v>1</v>
      </c>
      <c r="C219" s="84">
        <v>30</v>
      </c>
      <c r="D219" s="86">
        <f>(252/365)</f>
        <v>0.69041095890410964</v>
      </c>
      <c r="E219" s="85">
        <f>(B219*C219)*D219</f>
        <v>20.712328767123289</v>
      </c>
    </row>
    <row r="220" spans="1:9" ht="16.5" thickBot="1">
      <c r="A220" s="72" t="s">
        <v>136</v>
      </c>
      <c r="B220" s="87">
        <v>1</v>
      </c>
      <c r="C220" s="88">
        <v>1</v>
      </c>
      <c r="D220" s="89">
        <v>1</v>
      </c>
      <c r="E220" s="85">
        <f t="shared" ref="E220:E230" si="0">(B220*C220)*D220</f>
        <v>1</v>
      </c>
    </row>
    <row r="221" spans="1:9" ht="16.5" thickBot="1">
      <c r="A221" s="72" t="s">
        <v>137</v>
      </c>
      <c r="B221" s="87">
        <v>9.2200000000000004E-2</v>
      </c>
      <c r="C221" s="88">
        <v>15</v>
      </c>
      <c r="D221" s="89">
        <f>(252/365)</f>
        <v>0.69041095890410964</v>
      </c>
      <c r="E221" s="85">
        <f t="shared" si="0"/>
        <v>0.95483835616438362</v>
      </c>
    </row>
    <row r="222" spans="1:9" ht="16.5" thickBot="1">
      <c r="A222" s="72" t="s">
        <v>138</v>
      </c>
      <c r="B222" s="87">
        <v>1</v>
      </c>
      <c r="C222" s="88">
        <v>5</v>
      </c>
      <c r="D222" s="89">
        <f>(252/365)</f>
        <v>0.69041095890410964</v>
      </c>
      <c r="E222" s="85">
        <f t="shared" si="0"/>
        <v>3.4520547945205484</v>
      </c>
    </row>
    <row r="223" spans="1:9" ht="16.5" thickBot="1">
      <c r="A223" s="72" t="s">
        <v>139</v>
      </c>
      <c r="B223" s="87">
        <v>0.1522</v>
      </c>
      <c r="C223" s="88">
        <v>2</v>
      </c>
      <c r="D223" s="89">
        <v>1</v>
      </c>
      <c r="E223" s="85">
        <f t="shared" si="0"/>
        <v>0.3044</v>
      </c>
    </row>
    <row r="224" spans="1:9" ht="16.5" thickBot="1">
      <c r="A224" s="72" t="s">
        <v>140</v>
      </c>
      <c r="B224" s="87">
        <v>3.09E-2</v>
      </c>
      <c r="C224" s="88">
        <v>2</v>
      </c>
      <c r="D224" s="89">
        <f>(252/365)</f>
        <v>0.69041095890410964</v>
      </c>
      <c r="E224" s="85">
        <f t="shared" si="0"/>
        <v>4.2667397260273979E-2</v>
      </c>
    </row>
    <row r="225" spans="1:9" ht="16.5" thickBot="1">
      <c r="A225" s="72" t="s">
        <v>141</v>
      </c>
      <c r="B225" s="87">
        <v>1.23E-2</v>
      </c>
      <c r="C225" s="88">
        <v>3</v>
      </c>
      <c r="D225" s="89">
        <v>1</v>
      </c>
      <c r="E225" s="85">
        <f t="shared" si="0"/>
        <v>3.6900000000000002E-2</v>
      </c>
    </row>
    <row r="226" spans="1:9" ht="16.5" thickBot="1">
      <c r="A226" s="72" t="s">
        <v>142</v>
      </c>
      <c r="B226" s="87">
        <v>0.02</v>
      </c>
      <c r="C226" s="88">
        <v>1</v>
      </c>
      <c r="D226" s="89">
        <v>1</v>
      </c>
      <c r="E226" s="85">
        <f t="shared" si="0"/>
        <v>0.02</v>
      </c>
    </row>
    <row r="227" spans="1:9" ht="16.5" thickBot="1">
      <c r="A227" s="72" t="s">
        <v>143</v>
      </c>
      <c r="B227" s="87">
        <v>4.0000000000000001E-3</v>
      </c>
      <c r="C227" s="88">
        <v>1</v>
      </c>
      <c r="D227" s="89">
        <v>1</v>
      </c>
      <c r="E227" s="85">
        <f t="shared" si="0"/>
        <v>4.0000000000000001E-3</v>
      </c>
    </row>
    <row r="228" spans="1:9" ht="16.5" thickBot="1">
      <c r="A228" s="72" t="s">
        <v>144</v>
      </c>
      <c r="B228" s="87">
        <v>3.2099999999999997E-2</v>
      </c>
      <c r="C228" s="88">
        <v>20</v>
      </c>
      <c r="D228" s="89">
        <f>(252/365)</f>
        <v>0.69041095890410964</v>
      </c>
      <c r="E228" s="85">
        <f t="shared" si="0"/>
        <v>0.44324383561643832</v>
      </c>
    </row>
    <row r="229" spans="1:9" ht="16.5" thickBot="1">
      <c r="A229" s="72" t="s">
        <v>145</v>
      </c>
      <c r="B229" s="87">
        <v>2.8E-3</v>
      </c>
      <c r="C229" s="88">
        <v>180</v>
      </c>
      <c r="D229" s="89">
        <f>(252/365)</f>
        <v>0.69041095890410964</v>
      </c>
      <c r="E229" s="85">
        <f t="shared" si="0"/>
        <v>0.34796712328767126</v>
      </c>
    </row>
    <row r="230" spans="1:9" ht="16.5" thickBot="1">
      <c r="A230" s="90" t="s">
        <v>146</v>
      </c>
      <c r="B230" s="91">
        <v>2.0000000000000001E-4</v>
      </c>
      <c r="C230" s="92">
        <v>6</v>
      </c>
      <c r="D230" s="93">
        <v>1</v>
      </c>
      <c r="E230" s="134">
        <f t="shared" si="0"/>
        <v>1.2000000000000001E-3</v>
      </c>
    </row>
    <row r="231" spans="1:9" ht="16.5" thickBot="1">
      <c r="A231" s="296" t="s">
        <v>147</v>
      </c>
      <c r="B231" s="297"/>
      <c r="C231" s="297"/>
      <c r="D231" s="298"/>
      <c r="E231" s="135">
        <f>SUM(E219:E230)</f>
        <v>27.319600273972608</v>
      </c>
      <c r="F231" s="41"/>
      <c r="G231" s="202"/>
      <c r="H231" s="202"/>
      <c r="I231" s="41"/>
    </row>
    <row r="232" spans="1:9" ht="15.75">
      <c r="A232" s="41"/>
      <c r="B232" s="41"/>
      <c r="C232" s="41"/>
      <c r="D232" s="41"/>
      <c r="E232" s="41"/>
      <c r="F232" s="41"/>
      <c r="G232" s="202"/>
      <c r="H232" s="202"/>
      <c r="I232" s="41"/>
    </row>
    <row r="233" spans="1:9" ht="15.75">
      <c r="A233" s="254" t="s">
        <v>148</v>
      </c>
      <c r="B233" s="254"/>
      <c r="C233" s="254"/>
      <c r="D233" s="254"/>
      <c r="E233" s="254"/>
      <c r="F233" s="254"/>
      <c r="G233" s="254"/>
      <c r="H233" s="254"/>
      <c r="I233" s="254"/>
    </row>
    <row r="234" spans="1:9" ht="16.5" thickBot="1">
      <c r="A234" s="41"/>
      <c r="B234" s="41"/>
      <c r="C234" s="41"/>
      <c r="D234" s="41"/>
      <c r="E234" s="41"/>
      <c r="F234" s="41"/>
      <c r="G234" s="202"/>
      <c r="H234" s="202"/>
      <c r="I234" s="41"/>
    </row>
    <row r="235" spans="1:9" ht="16.5" thickBot="1">
      <c r="A235" s="255" t="s">
        <v>149</v>
      </c>
      <c r="B235" s="256"/>
      <c r="C235" s="256"/>
      <c r="D235" s="257"/>
      <c r="E235" s="41"/>
      <c r="F235" s="41"/>
      <c r="G235" s="202"/>
      <c r="H235" s="202"/>
      <c r="I235" s="41"/>
    </row>
    <row r="236" spans="1:9" ht="16.5" thickBot="1">
      <c r="A236" s="58" t="s">
        <v>37</v>
      </c>
      <c r="B236" s="59" t="s">
        <v>38</v>
      </c>
      <c r="C236" s="59" t="s">
        <v>150</v>
      </c>
      <c r="D236" s="60" t="s">
        <v>151</v>
      </c>
      <c r="E236" s="41"/>
      <c r="F236" s="41"/>
      <c r="G236" s="202"/>
      <c r="H236" s="202"/>
      <c r="I236" s="41"/>
    </row>
    <row r="237" spans="1:9" ht="15.75">
      <c r="A237" s="133" t="s">
        <v>35</v>
      </c>
      <c r="B237" s="50">
        <f>I47+E156+E211</f>
        <v>4277.929473199888</v>
      </c>
      <c r="C237" s="68">
        <v>30</v>
      </c>
      <c r="D237" s="52">
        <f>B237/C237</f>
        <v>142.59764910666294</v>
      </c>
      <c r="E237" s="41"/>
      <c r="F237" s="41"/>
      <c r="G237" s="202"/>
      <c r="H237" s="202"/>
      <c r="I237" s="41"/>
    </row>
    <row r="238" spans="1:9" ht="16.5" thickBot="1">
      <c r="A238" s="41"/>
      <c r="B238" s="41"/>
      <c r="C238" s="41"/>
      <c r="D238" s="41"/>
      <c r="E238" s="41"/>
      <c r="F238" s="41"/>
      <c r="G238" s="202"/>
      <c r="H238" s="202"/>
      <c r="I238" s="41"/>
    </row>
    <row r="239" spans="1:9" ht="16.5" thickBot="1">
      <c r="A239" s="296" t="s">
        <v>148</v>
      </c>
      <c r="B239" s="297"/>
      <c r="C239" s="297"/>
      <c r="D239" s="297"/>
      <c r="E239" s="298"/>
      <c r="F239" s="41"/>
      <c r="G239" s="202"/>
      <c r="H239" s="202"/>
      <c r="I239" s="41"/>
    </row>
    <row r="240" spans="1:9" ht="32.25" thickBot="1">
      <c r="A240" s="58" t="s">
        <v>37</v>
      </c>
      <c r="B240" s="59" t="s">
        <v>151</v>
      </c>
      <c r="C240" s="62" t="s">
        <v>152</v>
      </c>
      <c r="D240" s="59" t="s">
        <v>153</v>
      </c>
      <c r="E240" s="60" t="s">
        <v>154</v>
      </c>
      <c r="F240" s="41"/>
      <c r="G240" s="202"/>
      <c r="H240" s="202"/>
      <c r="I240" s="41"/>
    </row>
    <row r="241" spans="1:9" ht="15.75">
      <c r="A241" s="133" t="s">
        <v>35</v>
      </c>
      <c r="B241" s="50">
        <f>D237</f>
        <v>142.59764910666294</v>
      </c>
      <c r="C241" s="95">
        <f>E231</f>
        <v>27.319600273972608</v>
      </c>
      <c r="D241" s="50">
        <f>B241*C241</f>
        <v>3895.7107736022385</v>
      </c>
      <c r="E241" s="52">
        <f>D241/12</f>
        <v>324.64256446685323</v>
      </c>
      <c r="F241" s="41"/>
      <c r="G241" s="202"/>
      <c r="H241" s="202"/>
      <c r="I241" s="41"/>
    </row>
    <row r="242" spans="1:9" ht="15.75">
      <c r="A242" s="41"/>
      <c r="B242" s="41"/>
      <c r="C242" s="41"/>
      <c r="D242" s="41"/>
      <c r="E242" s="41"/>
      <c r="F242" s="41"/>
      <c r="G242" s="202"/>
      <c r="H242" s="202"/>
      <c r="I242" s="41"/>
    </row>
    <row r="243" spans="1:9" ht="15.75">
      <c r="A243" s="41"/>
      <c r="B243" s="41"/>
      <c r="C243" s="41"/>
      <c r="D243" s="41"/>
      <c r="E243" s="41"/>
      <c r="F243" s="41"/>
      <c r="G243" s="202"/>
      <c r="H243" s="202"/>
      <c r="I243" s="41"/>
    </row>
    <row r="244" spans="1:9" ht="15.75">
      <c r="A244" s="254" t="s">
        <v>127</v>
      </c>
      <c r="B244" s="254"/>
      <c r="C244" s="254"/>
      <c r="D244" s="254"/>
      <c r="E244" s="254"/>
      <c r="F244" s="254"/>
      <c r="G244" s="254"/>
      <c r="H244" s="254"/>
      <c r="I244" s="254"/>
    </row>
    <row r="245" spans="1:9" ht="16.5" thickBot="1">
      <c r="A245" s="41"/>
      <c r="B245" s="41"/>
      <c r="C245" s="41"/>
      <c r="D245" s="41"/>
      <c r="E245" s="41"/>
      <c r="F245" s="41"/>
      <c r="G245" s="202"/>
      <c r="H245" s="202"/>
      <c r="I245" s="41"/>
    </row>
    <row r="246" spans="1:9" ht="16.5" thickBot="1">
      <c r="A246" s="255" t="s">
        <v>127</v>
      </c>
      <c r="B246" s="256"/>
      <c r="C246" s="256"/>
      <c r="D246" s="257"/>
      <c r="E246" s="41"/>
      <c r="F246" s="41"/>
      <c r="G246" s="202"/>
      <c r="H246" s="202"/>
      <c r="I246" s="41"/>
    </row>
    <row r="247" spans="1:9" ht="16.5" thickBot="1">
      <c r="A247" s="58" t="s">
        <v>37</v>
      </c>
      <c r="B247" s="59" t="s">
        <v>155</v>
      </c>
      <c r="C247" s="59" t="s">
        <v>156</v>
      </c>
      <c r="D247" s="60" t="s">
        <v>44</v>
      </c>
      <c r="E247" s="41"/>
      <c r="F247" s="41"/>
      <c r="G247" s="202"/>
      <c r="H247" s="202"/>
      <c r="I247" s="41"/>
    </row>
    <row r="248" spans="1:9" ht="15.75">
      <c r="A248" s="133" t="s">
        <v>35</v>
      </c>
      <c r="B248" s="50">
        <f>E241</f>
        <v>324.64256446685323</v>
      </c>
      <c r="C248" s="50">
        <v>0</v>
      </c>
      <c r="D248" s="52">
        <f>SUM(B248:C248)</f>
        <v>324.64256446685323</v>
      </c>
      <c r="E248" s="41"/>
      <c r="F248" s="41"/>
      <c r="G248" s="202"/>
      <c r="H248" s="202"/>
      <c r="I248" s="41"/>
    </row>
    <row r="249" spans="1:9" ht="15.75">
      <c r="A249" s="41"/>
      <c r="B249" s="41"/>
      <c r="C249" s="41"/>
      <c r="D249" s="41"/>
      <c r="E249" s="41"/>
      <c r="F249" s="41"/>
      <c r="G249" s="202"/>
      <c r="H249" s="202"/>
      <c r="I249" s="41"/>
    </row>
    <row r="250" spans="1:9" ht="15.75">
      <c r="A250" s="254" t="s">
        <v>157</v>
      </c>
      <c r="B250" s="254"/>
      <c r="C250" s="254"/>
      <c r="D250" s="254"/>
      <c r="E250" s="254"/>
      <c r="F250" s="41"/>
      <c r="G250" s="202"/>
      <c r="H250" s="202"/>
      <c r="I250" s="41"/>
    </row>
    <row r="251" spans="1:9" ht="16.5" thickBot="1">
      <c r="A251" s="96"/>
      <c r="B251" s="96"/>
      <c r="C251" s="96"/>
      <c r="D251" s="96"/>
      <c r="E251" s="96"/>
      <c r="F251" s="41"/>
      <c r="G251" s="202"/>
      <c r="H251" s="202"/>
      <c r="I251" s="41"/>
    </row>
    <row r="252" spans="1:9" ht="16.5" thickBot="1">
      <c r="A252" s="293" t="s">
        <v>158</v>
      </c>
      <c r="B252" s="294"/>
      <c r="C252" s="294"/>
      <c r="D252" s="295"/>
      <c r="E252" s="97"/>
      <c r="F252" s="41"/>
      <c r="G252" s="202"/>
      <c r="H252" s="202"/>
      <c r="I252" s="41"/>
    </row>
    <row r="253" spans="1:9" ht="16.5" thickBot="1">
      <c r="A253" s="98" t="s">
        <v>159</v>
      </c>
      <c r="B253" s="99" t="s">
        <v>160</v>
      </c>
      <c r="C253" s="99" t="s">
        <v>161</v>
      </c>
      <c r="D253" s="100" t="s">
        <v>40</v>
      </c>
      <c r="E253" s="41"/>
      <c r="F253" s="41"/>
      <c r="G253" s="202"/>
      <c r="H253" s="202"/>
      <c r="I253" s="41"/>
    </row>
    <row r="254" spans="1:9" ht="51.75" customHeight="1" thickBot="1">
      <c r="A254" s="145" t="s">
        <v>162</v>
      </c>
      <c r="B254" s="101">
        <v>2</v>
      </c>
      <c r="C254" s="356">
        <v>49.5</v>
      </c>
      <c r="D254" s="357">
        <f>B254*C254</f>
        <v>99</v>
      </c>
      <c r="E254" s="41"/>
      <c r="F254" s="41"/>
      <c r="G254" s="202"/>
      <c r="H254" s="202"/>
      <c r="I254" s="41"/>
    </row>
    <row r="255" spans="1:9" ht="63.75" thickBot="1">
      <c r="A255" s="146" t="s">
        <v>163</v>
      </c>
      <c r="B255" s="102">
        <v>4</v>
      </c>
      <c r="C255" s="358">
        <v>17.399999999999999</v>
      </c>
      <c r="D255" s="357">
        <f t="shared" ref="D255:D256" si="1">B255*C255</f>
        <v>69.599999999999994</v>
      </c>
      <c r="E255" s="41"/>
      <c r="F255" s="41"/>
      <c r="G255" s="202"/>
      <c r="H255" s="202"/>
      <c r="I255" s="41"/>
    </row>
    <row r="256" spans="1:9" ht="48" thickBot="1">
      <c r="A256" s="146" t="s">
        <v>164</v>
      </c>
      <c r="B256" s="102">
        <v>4</v>
      </c>
      <c r="C256" s="358">
        <v>4.4400000000000004</v>
      </c>
      <c r="D256" s="357">
        <f t="shared" si="1"/>
        <v>17.760000000000002</v>
      </c>
      <c r="E256" s="41"/>
      <c r="F256" s="41"/>
      <c r="G256" s="202"/>
      <c r="H256" s="202"/>
      <c r="I256" s="41"/>
    </row>
    <row r="257" spans="1:9" ht="79.5" thickBot="1">
      <c r="A257" s="146" t="s">
        <v>165</v>
      </c>
      <c r="B257" s="102">
        <v>2</v>
      </c>
      <c r="C257" s="358">
        <v>38.5</v>
      </c>
      <c r="D257" s="357">
        <f t="shared" ref="D257:D258" si="2">B257*C257</f>
        <v>77</v>
      </c>
      <c r="E257" s="41"/>
      <c r="F257" s="41"/>
      <c r="G257" s="202"/>
      <c r="H257" s="202"/>
      <c r="I257" s="41"/>
    </row>
    <row r="258" spans="1:9" ht="48" thickBot="1">
      <c r="A258" s="146" t="s">
        <v>166</v>
      </c>
      <c r="B258" s="102">
        <v>1</v>
      </c>
      <c r="C258" s="358">
        <v>2.13</v>
      </c>
      <c r="D258" s="357">
        <f t="shared" si="2"/>
        <v>2.13</v>
      </c>
      <c r="E258" s="41"/>
      <c r="F258" s="41"/>
      <c r="G258" s="202"/>
      <c r="H258" s="202"/>
      <c r="I258" s="41"/>
    </row>
    <row r="259" spans="1:9" ht="16.5" thickBot="1">
      <c r="A259" s="282" t="s">
        <v>167</v>
      </c>
      <c r="B259" s="283"/>
      <c r="C259" s="283"/>
      <c r="D259" s="103">
        <f>SUM(D254:D258)</f>
        <v>265.49</v>
      </c>
      <c r="E259" s="41"/>
      <c r="F259" s="41"/>
      <c r="G259" s="202"/>
      <c r="H259" s="202"/>
      <c r="I259" s="41"/>
    </row>
    <row r="260" spans="1:9" ht="16.5" thickBot="1">
      <c r="A260" s="41"/>
      <c r="B260" s="104"/>
      <c r="C260" s="104"/>
      <c r="D260" s="104"/>
      <c r="E260" s="105"/>
      <c r="F260" s="41"/>
      <c r="G260" s="202"/>
      <c r="H260" s="202"/>
      <c r="I260" s="41"/>
    </row>
    <row r="261" spans="1:9" ht="16.5" thickBot="1">
      <c r="A261" s="284" t="s">
        <v>168</v>
      </c>
      <c r="B261" s="285"/>
      <c r="C261" s="286"/>
      <c r="D261" s="106"/>
      <c r="E261" s="106"/>
      <c r="F261" s="41"/>
      <c r="G261" s="202"/>
      <c r="H261" s="202"/>
      <c r="I261" s="41"/>
    </row>
    <row r="262" spans="1:9" ht="16.5" thickBot="1">
      <c r="A262" s="98" t="s">
        <v>37</v>
      </c>
      <c r="B262" s="107" t="s">
        <v>153</v>
      </c>
      <c r="C262" s="108" t="s">
        <v>169</v>
      </c>
      <c r="D262" s="106"/>
      <c r="E262" s="106"/>
      <c r="F262" s="41"/>
      <c r="G262" s="202"/>
      <c r="H262" s="202"/>
      <c r="I262" s="41"/>
    </row>
    <row r="263" spans="1:9" ht="15.75">
      <c r="A263" s="133" t="s">
        <v>35</v>
      </c>
      <c r="B263" s="109">
        <f>D259</f>
        <v>265.49</v>
      </c>
      <c r="C263" s="110">
        <f>B263/12</f>
        <v>22.124166666666667</v>
      </c>
      <c r="D263" s="104"/>
      <c r="E263" s="41"/>
      <c r="F263" s="41"/>
      <c r="G263" s="202"/>
      <c r="H263" s="202"/>
      <c r="I263" s="41"/>
    </row>
    <row r="264" spans="1:9" ht="16.5" thickBot="1">
      <c r="A264" s="41"/>
      <c r="B264" s="104"/>
      <c r="C264" s="104"/>
      <c r="D264" s="104"/>
      <c r="E264" s="41"/>
      <c r="F264" s="41"/>
      <c r="G264" s="202"/>
      <c r="H264" s="202"/>
      <c r="I264" s="41"/>
    </row>
    <row r="265" spans="1:9" ht="16.5" thickBot="1">
      <c r="A265" s="287" t="s">
        <v>170</v>
      </c>
      <c r="B265" s="288"/>
      <c r="C265" s="288"/>
      <c r="D265" s="289"/>
      <c r="E265" s="41"/>
      <c r="F265" s="41"/>
      <c r="G265" s="202"/>
      <c r="H265" s="202"/>
      <c r="I265" s="41"/>
    </row>
    <row r="266" spans="1:9" ht="32.25" thickBot="1">
      <c r="A266" s="111" t="s">
        <v>37</v>
      </c>
      <c r="B266" s="112" t="s">
        <v>153</v>
      </c>
      <c r="C266" s="112" t="s">
        <v>154</v>
      </c>
      <c r="D266" s="113" t="s">
        <v>171</v>
      </c>
      <c r="E266" s="41"/>
      <c r="F266" s="41"/>
      <c r="G266" s="202"/>
      <c r="H266" s="202"/>
      <c r="I266" s="41"/>
    </row>
    <row r="267" spans="1:9" ht="15.75">
      <c r="A267" s="133" t="s">
        <v>35</v>
      </c>
      <c r="B267" s="109">
        <f>Materiais!G81</f>
        <v>175809.66999999995</v>
      </c>
      <c r="C267" s="109">
        <f>Materiais!G82</f>
        <v>14650.80583333333</v>
      </c>
      <c r="D267" s="114">
        <f>Materiais!G83</f>
        <v>610.45024305555546</v>
      </c>
      <c r="E267" s="41"/>
      <c r="F267" s="41"/>
      <c r="G267" s="202"/>
      <c r="H267" s="202"/>
      <c r="I267" s="41"/>
    </row>
    <row r="268" spans="1:9" ht="16.5" thickBot="1">
      <c r="A268" s="41"/>
      <c r="B268" s="104"/>
      <c r="C268" s="104"/>
      <c r="D268" s="104"/>
      <c r="E268" s="41"/>
      <c r="F268" s="41"/>
      <c r="G268" s="202"/>
      <c r="H268" s="202"/>
      <c r="I268" s="41"/>
    </row>
    <row r="269" spans="1:9" ht="16.5" thickBot="1">
      <c r="A269" s="287" t="s">
        <v>172</v>
      </c>
      <c r="B269" s="288"/>
      <c r="C269" s="288"/>
      <c r="D269" s="289"/>
      <c r="E269" s="41"/>
      <c r="F269" s="41"/>
      <c r="G269" s="202"/>
      <c r="H269" s="202"/>
      <c r="I269" s="41"/>
    </row>
    <row r="270" spans="1:9" ht="32.25" thickBot="1">
      <c r="A270" s="111" t="s">
        <v>37</v>
      </c>
      <c r="B270" s="112" t="s">
        <v>153</v>
      </c>
      <c r="C270" s="112" t="s">
        <v>154</v>
      </c>
      <c r="D270" s="113" t="s">
        <v>171</v>
      </c>
      <c r="E270" s="41"/>
      <c r="F270" s="41"/>
      <c r="G270" s="202"/>
      <c r="H270" s="202"/>
      <c r="I270" s="41"/>
    </row>
    <row r="271" spans="1:9" ht="15.75">
      <c r="A271" s="133" t="s">
        <v>35</v>
      </c>
      <c r="B271" s="109">
        <f>Equipamentos!G14</f>
        <v>10112.34</v>
      </c>
      <c r="C271" s="109">
        <f>Equipamentos!G15</f>
        <v>842.69500000000005</v>
      </c>
      <c r="D271" s="114">
        <f>Equipamentos!G16</f>
        <v>35.112291666666671</v>
      </c>
      <c r="E271" s="41"/>
      <c r="F271" s="41"/>
      <c r="G271" s="202"/>
      <c r="H271" s="202"/>
      <c r="I271" s="41"/>
    </row>
    <row r="272" spans="1:9" ht="15.75">
      <c r="A272" s="41"/>
      <c r="B272" s="41"/>
      <c r="C272" s="41"/>
      <c r="D272" s="41"/>
      <c r="E272" s="41"/>
      <c r="F272" s="41"/>
      <c r="G272" s="202"/>
      <c r="H272" s="202"/>
      <c r="I272" s="41"/>
    </row>
    <row r="273" spans="1:9" ht="16.5" thickBot="1">
      <c r="A273" s="290" t="s">
        <v>173</v>
      </c>
      <c r="B273" s="291"/>
      <c r="C273" s="291"/>
      <c r="D273" s="291"/>
      <c r="E273" s="291"/>
      <c r="F273" s="41"/>
      <c r="G273" s="202"/>
      <c r="H273" s="202"/>
      <c r="I273" s="41"/>
    </row>
    <row r="274" spans="1:9" ht="16.5" thickBot="1">
      <c r="A274" s="111" t="s">
        <v>37</v>
      </c>
      <c r="B274" s="112" t="s">
        <v>174</v>
      </c>
      <c r="C274" s="112" t="s">
        <v>175</v>
      </c>
      <c r="D274" s="112" t="s">
        <v>176</v>
      </c>
      <c r="E274" s="115" t="s">
        <v>40</v>
      </c>
      <c r="F274" s="41"/>
      <c r="G274" s="202"/>
      <c r="H274" s="202"/>
      <c r="I274" s="41"/>
    </row>
    <row r="275" spans="1:9" ht="15.75">
      <c r="A275" s="133" t="s">
        <v>35</v>
      </c>
      <c r="B275" s="116">
        <f>C263</f>
        <v>22.124166666666667</v>
      </c>
      <c r="C275" s="116">
        <f>Materiais!G83</f>
        <v>610.45024305555546</v>
      </c>
      <c r="D275" s="116">
        <f>D271</f>
        <v>35.112291666666671</v>
      </c>
      <c r="E275" s="117">
        <f>SUM(B275:D275)</f>
        <v>667.68670138888876</v>
      </c>
      <c r="F275" s="41"/>
      <c r="G275" s="202"/>
      <c r="H275" s="202"/>
      <c r="I275" s="41"/>
    </row>
    <row r="276" spans="1:9" ht="15.75">
      <c r="A276" s="41"/>
      <c r="B276" s="41"/>
      <c r="C276" s="41"/>
      <c r="D276" s="41"/>
      <c r="E276" s="41"/>
      <c r="F276" s="41"/>
      <c r="G276" s="202"/>
      <c r="H276" s="202"/>
      <c r="I276" s="41"/>
    </row>
    <row r="277" spans="1:9" ht="15.75">
      <c r="A277" s="254" t="s">
        <v>177</v>
      </c>
      <c r="B277" s="254"/>
      <c r="C277" s="254"/>
      <c r="D277" s="254"/>
      <c r="E277" s="254"/>
      <c r="F277" s="254"/>
      <c r="G277" s="254"/>
      <c r="H277" s="254"/>
      <c r="I277" s="254"/>
    </row>
    <row r="278" spans="1:9" ht="16.5" thickBot="1">
      <c r="A278" s="41"/>
      <c r="B278" s="41"/>
      <c r="C278" s="41"/>
      <c r="D278" s="41"/>
      <c r="E278" s="41"/>
      <c r="F278" s="41"/>
      <c r="G278" s="202"/>
      <c r="H278" s="202"/>
      <c r="I278" s="41"/>
    </row>
    <row r="279" spans="1:9" ht="16.5" thickBot="1">
      <c r="A279" s="255" t="s">
        <v>177</v>
      </c>
      <c r="B279" s="256"/>
      <c r="C279" s="256"/>
      <c r="D279" s="257"/>
      <c r="E279" s="41"/>
      <c r="F279" s="41"/>
      <c r="G279" s="202"/>
      <c r="H279" s="202"/>
      <c r="I279" s="41"/>
    </row>
    <row r="280" spans="1:9" ht="16.5" thickBot="1">
      <c r="A280" s="58" t="s">
        <v>37</v>
      </c>
      <c r="B280" s="59" t="s">
        <v>38</v>
      </c>
      <c r="C280" s="59" t="s">
        <v>39</v>
      </c>
      <c r="D280" s="60" t="s">
        <v>40</v>
      </c>
      <c r="E280" s="41"/>
      <c r="F280" s="41"/>
      <c r="G280" s="202"/>
      <c r="H280" s="202"/>
      <c r="I280" s="41"/>
    </row>
    <row r="281" spans="1:9" ht="15.75">
      <c r="A281" s="133" t="s">
        <v>35</v>
      </c>
      <c r="B281" s="50">
        <f>I47+E156+E211+D248+D275</f>
        <v>4637.6843293334077</v>
      </c>
      <c r="C281" s="61">
        <f>(1+3%)/(1-14.25%-6.79%)-1</f>
        <v>0.3044579533941234</v>
      </c>
      <c r="D281" s="52">
        <f>B281*C281</f>
        <v>1411.9798793968471</v>
      </c>
      <c r="E281" s="41"/>
      <c r="F281" s="41"/>
      <c r="G281" s="202"/>
      <c r="H281" s="202"/>
      <c r="I281" s="41"/>
    </row>
    <row r="282" spans="1:9" ht="15.75">
      <c r="A282" s="41"/>
      <c r="B282" s="41"/>
      <c r="C282" s="41"/>
      <c r="D282" s="41"/>
      <c r="E282" s="41"/>
      <c r="F282" s="41"/>
      <c r="G282" s="202"/>
      <c r="H282" s="202"/>
      <c r="I282" s="41"/>
    </row>
    <row r="283" spans="1:9" ht="15.75">
      <c r="A283" s="41"/>
      <c r="B283" s="41"/>
      <c r="C283" s="41"/>
      <c r="D283" s="41"/>
      <c r="E283" s="41"/>
      <c r="F283" s="41"/>
      <c r="G283" s="202"/>
      <c r="H283" s="202"/>
      <c r="I283" s="41"/>
    </row>
    <row r="284" spans="1:9" ht="15.75">
      <c r="A284" s="254" t="s">
        <v>178</v>
      </c>
      <c r="B284" s="254"/>
      <c r="C284" s="254"/>
      <c r="D284" s="254"/>
      <c r="E284" s="254"/>
      <c r="F284" s="254"/>
      <c r="G284" s="254"/>
      <c r="H284" s="254"/>
      <c r="I284" s="254"/>
    </row>
    <row r="285" spans="1:9" ht="16.5" thickBot="1">
      <c r="A285" s="41"/>
      <c r="B285" s="41"/>
      <c r="C285" s="41"/>
      <c r="D285" s="41"/>
      <c r="E285" s="41"/>
      <c r="F285" s="41"/>
      <c r="G285" s="202"/>
      <c r="H285" s="202"/>
      <c r="I285" s="41"/>
    </row>
    <row r="286" spans="1:9" ht="16.5" thickBot="1">
      <c r="A286" s="267" t="s">
        <v>179</v>
      </c>
      <c r="B286" s="281"/>
      <c r="C286" s="41"/>
      <c r="D286" s="41"/>
      <c r="E286" s="41"/>
      <c r="F286" s="41"/>
      <c r="G286" s="202"/>
      <c r="H286" s="202"/>
      <c r="I286" s="41"/>
    </row>
    <row r="287" spans="1:9" ht="32.25" thickBot="1">
      <c r="A287" s="94" t="s">
        <v>180</v>
      </c>
      <c r="B287" s="57" t="s">
        <v>35</v>
      </c>
      <c r="C287" s="41"/>
      <c r="D287" s="41"/>
      <c r="E287" s="41"/>
      <c r="F287" s="41"/>
      <c r="G287" s="202"/>
      <c r="H287" s="202"/>
      <c r="I287" s="41"/>
    </row>
    <row r="288" spans="1:9" ht="15.75">
      <c r="A288" s="118" t="s">
        <v>181</v>
      </c>
      <c r="B288" s="119">
        <f>I47</f>
        <v>2157.1999999999998</v>
      </c>
      <c r="C288" s="41"/>
      <c r="D288" s="41"/>
      <c r="E288" s="41"/>
      <c r="F288" s="41"/>
      <c r="G288" s="202"/>
      <c r="H288" s="202"/>
      <c r="I288" s="41"/>
    </row>
    <row r="289" spans="1:9" ht="15.75">
      <c r="A289" s="120" t="s">
        <v>182</v>
      </c>
      <c r="B289" s="121">
        <f>E156</f>
        <v>2117.9254481589437</v>
      </c>
      <c r="C289" s="41"/>
      <c r="D289" s="41"/>
      <c r="E289" s="41"/>
      <c r="F289" s="41"/>
      <c r="G289" s="202"/>
      <c r="H289" s="202"/>
      <c r="I289" s="41"/>
    </row>
    <row r="290" spans="1:9" ht="15.75">
      <c r="A290" s="120" t="s">
        <v>183</v>
      </c>
      <c r="B290" s="121">
        <f>E211</f>
        <v>2.8040250409435981</v>
      </c>
      <c r="C290" s="41"/>
      <c r="D290" s="41"/>
      <c r="E290" s="41"/>
      <c r="F290" s="41"/>
      <c r="G290" s="202"/>
      <c r="H290" s="202"/>
      <c r="I290" s="41"/>
    </row>
    <row r="291" spans="1:9" ht="15.75">
      <c r="A291" s="120" t="s">
        <v>184</v>
      </c>
      <c r="B291" s="121">
        <f>D248</f>
        <v>324.64256446685323</v>
      </c>
      <c r="C291" s="41"/>
      <c r="D291" s="41"/>
      <c r="E291" s="41"/>
      <c r="F291" s="41"/>
      <c r="G291" s="202"/>
      <c r="H291" s="202"/>
      <c r="I291" s="41"/>
    </row>
    <row r="292" spans="1:9" ht="15.75">
      <c r="A292" s="120" t="s">
        <v>185</v>
      </c>
      <c r="B292" s="121">
        <f>E275</f>
        <v>667.68670138888876</v>
      </c>
      <c r="C292" s="41"/>
      <c r="D292" s="41"/>
      <c r="E292" s="41"/>
      <c r="F292" s="41"/>
      <c r="G292" s="202"/>
      <c r="H292" s="202"/>
      <c r="I292" s="41"/>
    </row>
    <row r="293" spans="1:9" ht="16.5" thickBot="1">
      <c r="A293" s="122" t="s">
        <v>186</v>
      </c>
      <c r="B293" s="123">
        <f>D281</f>
        <v>1411.9798793968471</v>
      </c>
      <c r="C293" s="41"/>
      <c r="D293" s="41"/>
      <c r="E293" s="41"/>
      <c r="F293" s="41"/>
      <c r="G293" s="202"/>
      <c r="H293" s="202"/>
      <c r="I293" s="41"/>
    </row>
    <row r="294" spans="1:9" ht="16.5" thickBot="1">
      <c r="A294" s="136" t="s">
        <v>187</v>
      </c>
      <c r="B294" s="137">
        <f>SUM(B288:B293)</f>
        <v>6682.2386184524767</v>
      </c>
      <c r="C294" s="41"/>
      <c r="D294" s="41"/>
      <c r="E294" s="41"/>
      <c r="F294" s="41"/>
      <c r="G294" s="202"/>
      <c r="H294" s="202"/>
      <c r="I294" s="41"/>
    </row>
    <row r="296" spans="1:9">
      <c r="A296" t="str">
        <f>'Área Dispersas'!J127</f>
        <v>Manaus, 02 de DEZEMBRO de 2024</v>
      </c>
    </row>
    <row r="298" spans="1:9">
      <c r="A298" s="166" t="s">
        <v>188</v>
      </c>
      <c r="C298" s="166" t="s">
        <v>188</v>
      </c>
    </row>
    <row r="299" spans="1:9">
      <c r="A299" s="167" t="s">
        <v>189</v>
      </c>
      <c r="C299" s="167" t="s">
        <v>189</v>
      </c>
    </row>
    <row r="300" spans="1:9">
      <c r="A300" s="168" t="str">
        <f>'Área Dispersas'!J131</f>
        <v>Elton de Jesus Thomaz</v>
      </c>
      <c r="C300" s="168" t="s">
        <v>190</v>
      </c>
    </row>
    <row r="301" spans="1:9">
      <c r="A301" s="169"/>
      <c r="C301" s="167"/>
    </row>
    <row r="302" spans="1:9">
      <c r="A302" s="170"/>
      <c r="C302" s="170"/>
      <c r="D302" s="170"/>
    </row>
  </sheetData>
  <mergeCells count="101">
    <mergeCell ref="A246:D246"/>
    <mergeCell ref="A215:E215"/>
    <mergeCell ref="A216:E216"/>
    <mergeCell ref="A217:A218"/>
    <mergeCell ref="B217:B218"/>
    <mergeCell ref="C217:C218"/>
    <mergeCell ref="D217:E217"/>
    <mergeCell ref="A231:D231"/>
    <mergeCell ref="A233:I233"/>
    <mergeCell ref="A235:D235"/>
    <mergeCell ref="A239:E239"/>
    <mergeCell ref="A244:I244"/>
    <mergeCell ref="A286:B286"/>
    <mergeCell ref="A250:E250"/>
    <mergeCell ref="A252:D252"/>
    <mergeCell ref="A259:C259"/>
    <mergeCell ref="A261:C261"/>
    <mergeCell ref="A269:D269"/>
    <mergeCell ref="A277:I277"/>
    <mergeCell ref="A279:D279"/>
    <mergeCell ref="A284:I284"/>
    <mergeCell ref="A265:D265"/>
    <mergeCell ref="A273:E273"/>
    <mergeCell ref="A213:I213"/>
    <mergeCell ref="A175:D175"/>
    <mergeCell ref="A179:D179"/>
    <mergeCell ref="A183:I183"/>
    <mergeCell ref="A185:D185"/>
    <mergeCell ref="A189:D189"/>
    <mergeCell ref="A193:D193"/>
    <mergeCell ref="A197:I197"/>
    <mergeCell ref="A199:E199"/>
    <mergeCell ref="A203:D203"/>
    <mergeCell ref="A207:I207"/>
    <mergeCell ref="A209:E209"/>
    <mergeCell ref="F184:I196"/>
    <mergeCell ref="A171:D171"/>
    <mergeCell ref="E171:F171"/>
    <mergeCell ref="A121:D121"/>
    <mergeCell ref="A125:I125"/>
    <mergeCell ref="A127:D127"/>
    <mergeCell ref="A131:I131"/>
    <mergeCell ref="A133:D133"/>
    <mergeCell ref="A152:I152"/>
    <mergeCell ref="A154:E154"/>
    <mergeCell ref="A158:I158"/>
    <mergeCell ref="A160:B160"/>
    <mergeCell ref="A169:I169"/>
    <mergeCell ref="A137:I137"/>
    <mergeCell ref="A138:D138"/>
    <mergeCell ref="A148:I148"/>
    <mergeCell ref="A142:K142"/>
    <mergeCell ref="A144:D144"/>
    <mergeCell ref="A117:D117"/>
    <mergeCell ref="A71:B71"/>
    <mergeCell ref="A83:D83"/>
    <mergeCell ref="A87:D87"/>
    <mergeCell ref="A91:D91"/>
    <mergeCell ref="A95:I95"/>
    <mergeCell ref="A97:I97"/>
    <mergeCell ref="A99:E99"/>
    <mergeCell ref="A103:E103"/>
    <mergeCell ref="A107:D107"/>
    <mergeCell ref="A111:I111"/>
    <mergeCell ref="A113:D113"/>
    <mergeCell ref="A69:I69"/>
    <mergeCell ref="A32:B32"/>
    <mergeCell ref="A36:I36"/>
    <mergeCell ref="A38:D38"/>
    <mergeCell ref="A43:I43"/>
    <mergeCell ref="A45:I45"/>
    <mergeCell ref="A49:I49"/>
    <mergeCell ref="A51:I51"/>
    <mergeCell ref="A53:D53"/>
    <mergeCell ref="A57:E57"/>
    <mergeCell ref="A61:D61"/>
    <mergeCell ref="A65:E65"/>
    <mergeCell ref="A30:I30"/>
    <mergeCell ref="A17:A20"/>
    <mergeCell ref="C17:D17"/>
    <mergeCell ref="C18:D18"/>
    <mergeCell ref="C19:D19"/>
    <mergeCell ref="C20:D20"/>
    <mergeCell ref="A22:E22"/>
    <mergeCell ref="A23:E23"/>
    <mergeCell ref="C24:E24"/>
    <mergeCell ref="C25:E25"/>
    <mergeCell ref="C26:E26"/>
    <mergeCell ref="C27:E27"/>
    <mergeCell ref="C16:E16"/>
    <mergeCell ref="A1:I1"/>
    <mergeCell ref="A3:I3"/>
    <mergeCell ref="A4:I4"/>
    <mergeCell ref="C5:E5"/>
    <mergeCell ref="C6:E6"/>
    <mergeCell ref="A9:E9"/>
    <mergeCell ref="C10:E10"/>
    <mergeCell ref="C11:E11"/>
    <mergeCell ref="C12:E12"/>
    <mergeCell ref="C13:E13"/>
    <mergeCell ref="A15:C15"/>
  </mergeCells>
  <pageMargins left="0.511811024" right="0.511811024" top="0.78740157499999996" bottom="0.78740157499999996" header="0.31496062000000002" footer="0.31496062000000002"/>
  <pageSetup paperSize="9" scale="52" orientation="portrait" r:id="rId1"/>
  <rowBreaks count="4" manualBreakCount="4">
    <brk id="64" max="6" man="1"/>
    <brk id="126" max="6" man="1"/>
    <brk id="211" max="6" man="1"/>
    <brk id="249" max="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99"/>
  <sheetViews>
    <sheetView view="pageBreakPreview" topLeftCell="A244" zoomScaleNormal="100" zoomScaleSheetLayoutView="100" workbookViewId="0">
      <selection activeCell="C254" sqref="C254:D258"/>
    </sheetView>
  </sheetViews>
  <sheetFormatPr defaultRowHeight="15"/>
  <cols>
    <col min="1" max="1" width="31.42578125" customWidth="1"/>
    <col min="2" max="3" width="18.140625" bestFit="1" customWidth="1"/>
    <col min="4" max="4" width="15.42578125" bestFit="1" customWidth="1"/>
    <col min="5" max="6" width="18.140625" bestFit="1" customWidth="1"/>
    <col min="7" max="8" width="18.140625" customWidth="1"/>
  </cols>
  <sheetData>
    <row r="1" spans="1:9" ht="15.75">
      <c r="A1" s="266" t="s">
        <v>0</v>
      </c>
      <c r="B1" s="266"/>
      <c r="C1" s="266"/>
      <c r="D1" s="266"/>
      <c r="E1" s="266"/>
      <c r="F1" s="266"/>
      <c r="G1" s="266"/>
      <c r="H1" s="266"/>
      <c r="I1" s="266"/>
    </row>
    <row r="2" spans="1:9" ht="15.75">
      <c r="A2" s="96"/>
      <c r="B2" s="96"/>
      <c r="C2" s="96"/>
      <c r="D2" s="96"/>
      <c r="E2" s="96"/>
      <c r="F2" s="96"/>
      <c r="G2" s="201"/>
      <c r="H2" s="201"/>
      <c r="I2" s="96"/>
    </row>
    <row r="3" spans="1:9" ht="15.6" customHeight="1">
      <c r="A3" s="273" t="s">
        <v>1</v>
      </c>
      <c r="B3" s="274"/>
      <c r="C3" s="274"/>
      <c r="D3" s="274"/>
      <c r="E3" s="274"/>
      <c r="F3" s="274"/>
      <c r="G3" s="274"/>
      <c r="H3" s="274"/>
      <c r="I3" s="274"/>
    </row>
    <row r="4" spans="1:9" ht="15.6" customHeight="1">
      <c r="A4" s="272" t="s">
        <v>2</v>
      </c>
      <c r="B4" s="272"/>
      <c r="C4" s="272"/>
      <c r="D4" s="272"/>
      <c r="E4" s="272"/>
      <c r="F4" s="272"/>
      <c r="G4" s="272"/>
      <c r="H4" s="272"/>
      <c r="I4" s="272"/>
    </row>
    <row r="5" spans="1:9" ht="15.75">
      <c r="A5" s="124"/>
      <c r="B5" s="33" t="s">
        <v>3</v>
      </c>
      <c r="C5" s="270" t="str">
        <f>ASG!C5</f>
        <v>23105.034436/2024-13</v>
      </c>
      <c r="D5" s="270"/>
      <c r="E5" s="270"/>
      <c r="F5" s="96"/>
      <c r="G5" s="201"/>
      <c r="H5" s="201"/>
      <c r="I5" s="96"/>
    </row>
    <row r="6" spans="1:9" ht="15.75">
      <c r="A6" s="124"/>
      <c r="B6" s="33" t="s">
        <v>4</v>
      </c>
      <c r="C6" s="275"/>
      <c r="D6" s="275"/>
      <c r="E6" s="275"/>
      <c r="F6" s="96"/>
      <c r="G6" s="201"/>
      <c r="H6" s="201"/>
      <c r="I6" s="96"/>
    </row>
    <row r="7" spans="1:9" ht="15.75">
      <c r="A7" s="125"/>
      <c r="B7" s="126" t="s">
        <v>5</v>
      </c>
      <c r="C7" s="126"/>
      <c r="D7" s="126"/>
      <c r="E7" s="126"/>
      <c r="F7" s="96"/>
      <c r="G7" s="201"/>
      <c r="H7" s="201"/>
      <c r="I7" s="96"/>
    </row>
    <row r="8" spans="1:9" ht="15.75">
      <c r="A8" s="127"/>
      <c r="B8" s="127"/>
      <c r="C8" s="127"/>
      <c r="D8" s="127"/>
      <c r="E8" s="127"/>
      <c r="F8" s="96"/>
      <c r="G8" s="201"/>
      <c r="H8" s="201"/>
      <c r="I8" s="96"/>
    </row>
    <row r="9" spans="1:9" ht="15.75">
      <c r="A9" s="276" t="s">
        <v>6</v>
      </c>
      <c r="B9" s="276"/>
      <c r="C9" s="276"/>
      <c r="D9" s="276"/>
      <c r="E9" s="276"/>
      <c r="F9" s="96"/>
      <c r="G9" s="201"/>
      <c r="H9" s="201"/>
      <c r="I9" s="96"/>
    </row>
    <row r="10" spans="1:9" ht="58.9" customHeight="1">
      <c r="A10" s="129" t="s">
        <v>7</v>
      </c>
      <c r="B10" s="128" t="s">
        <v>8</v>
      </c>
      <c r="C10" s="249"/>
      <c r="D10" s="249"/>
      <c r="E10" s="249"/>
      <c r="F10" s="96"/>
      <c r="G10" s="201"/>
      <c r="H10" s="201"/>
      <c r="I10" s="96"/>
    </row>
    <row r="11" spans="1:9" ht="15.75">
      <c r="A11" s="129" t="s">
        <v>9</v>
      </c>
      <c r="B11" s="128" t="s">
        <v>10</v>
      </c>
      <c r="C11" s="250" t="s">
        <v>11</v>
      </c>
      <c r="D11" s="250"/>
      <c r="E11" s="250"/>
      <c r="F11" s="96"/>
      <c r="G11" s="201"/>
      <c r="H11" s="201"/>
      <c r="I11" s="96"/>
    </row>
    <row r="12" spans="1:9" ht="75">
      <c r="A12" s="129" t="s">
        <v>12</v>
      </c>
      <c r="B12" s="128" t="s">
        <v>13</v>
      </c>
      <c r="C12" s="250" t="str">
        <f>ASG!C12</f>
        <v>AM000578/2024</v>
      </c>
      <c r="D12" s="250"/>
      <c r="E12" s="250"/>
      <c r="F12" s="96"/>
      <c r="G12" s="201"/>
      <c r="H12" s="201"/>
      <c r="I12" s="96"/>
    </row>
    <row r="13" spans="1:9" ht="45">
      <c r="A13" s="129" t="s">
        <v>14</v>
      </c>
      <c r="B13" s="128" t="s">
        <v>15</v>
      </c>
      <c r="C13" s="250">
        <v>12</v>
      </c>
      <c r="D13" s="250"/>
      <c r="E13" s="250"/>
      <c r="F13" s="96"/>
      <c r="G13" s="201"/>
      <c r="H13" s="201"/>
      <c r="I13" s="96"/>
    </row>
    <row r="14" spans="1:9" ht="15.75">
      <c r="A14" s="127"/>
      <c r="B14" s="127"/>
      <c r="C14" s="127"/>
      <c r="D14" s="127"/>
      <c r="E14" s="127"/>
      <c r="F14" s="96"/>
      <c r="G14" s="201"/>
      <c r="H14" s="201"/>
      <c r="I14" s="96"/>
    </row>
    <row r="15" spans="1:9" ht="15.75">
      <c r="A15" s="277" t="s">
        <v>16</v>
      </c>
      <c r="B15" s="277"/>
      <c r="C15" s="277"/>
      <c r="D15" s="130"/>
      <c r="E15" s="127"/>
      <c r="F15" s="96"/>
      <c r="G15" s="201"/>
      <c r="H15" s="201"/>
      <c r="I15" s="96"/>
    </row>
    <row r="16" spans="1:9" ht="28.15" customHeight="1">
      <c r="A16" s="129" t="s">
        <v>17</v>
      </c>
      <c r="B16" s="129" t="s">
        <v>18</v>
      </c>
      <c r="C16" s="263" t="s">
        <v>19</v>
      </c>
      <c r="D16" s="263"/>
      <c r="E16" s="263"/>
      <c r="F16" s="96"/>
      <c r="G16" s="201"/>
      <c r="H16" s="201"/>
      <c r="I16" s="96"/>
    </row>
    <row r="17" spans="1:9" ht="15.75">
      <c r="A17" s="278" t="s">
        <v>20</v>
      </c>
      <c r="B17" s="129" t="s">
        <v>21</v>
      </c>
      <c r="C17" s="263" t="s">
        <v>22</v>
      </c>
      <c r="D17" s="263"/>
      <c r="E17" s="144">
        <v>13658.48</v>
      </c>
      <c r="F17" s="96"/>
      <c r="G17" s="201"/>
      <c r="H17" s="201"/>
      <c r="I17" s="96"/>
    </row>
    <row r="18" spans="1:9" ht="15.75">
      <c r="A18" s="279"/>
      <c r="B18" s="129" t="s">
        <v>21</v>
      </c>
      <c r="C18" s="250" t="s">
        <v>23</v>
      </c>
      <c r="D18" s="250"/>
      <c r="E18" s="144">
        <v>3054.81</v>
      </c>
      <c r="F18" s="96"/>
      <c r="G18" s="201"/>
      <c r="H18" s="201"/>
      <c r="I18" s="96"/>
    </row>
    <row r="19" spans="1:9" ht="15.75">
      <c r="A19" s="279"/>
      <c r="B19" s="129" t="s">
        <v>21</v>
      </c>
      <c r="C19" s="250" t="s">
        <v>24</v>
      </c>
      <c r="D19" s="250"/>
      <c r="E19" s="144">
        <v>4272.0600000000004</v>
      </c>
      <c r="F19" s="96"/>
      <c r="G19" s="201"/>
      <c r="H19" s="201"/>
      <c r="I19" s="96"/>
    </row>
    <row r="20" spans="1:9" ht="15.75">
      <c r="A20" s="280"/>
      <c r="B20" s="129" t="s">
        <v>21</v>
      </c>
      <c r="C20" s="247" t="s">
        <v>25</v>
      </c>
      <c r="D20" s="248"/>
      <c r="E20" s="144">
        <f>'[1]Cálculo Área m²'!F100</f>
        <v>0</v>
      </c>
      <c r="F20" s="96"/>
      <c r="G20" s="201"/>
      <c r="H20" s="201"/>
      <c r="I20" s="96"/>
    </row>
    <row r="21" spans="1:9" ht="15.75">
      <c r="A21" s="127"/>
      <c r="B21" s="127"/>
      <c r="C21" s="127"/>
      <c r="D21" s="127"/>
      <c r="E21" s="127"/>
      <c r="F21" s="96"/>
      <c r="G21" s="201"/>
      <c r="H21" s="201"/>
      <c r="I21" s="96"/>
    </row>
    <row r="22" spans="1:9" ht="15.75">
      <c r="A22" s="277" t="s">
        <v>26</v>
      </c>
      <c r="B22" s="277"/>
      <c r="C22" s="277"/>
      <c r="D22" s="277"/>
      <c r="E22" s="277"/>
      <c r="F22" s="96"/>
      <c r="G22" s="201"/>
      <c r="H22" s="201"/>
      <c r="I22" s="96"/>
    </row>
    <row r="23" spans="1:9" ht="15.75">
      <c r="A23" s="262" t="s">
        <v>27</v>
      </c>
      <c r="B23" s="262"/>
      <c r="C23" s="262"/>
      <c r="D23" s="262"/>
      <c r="E23" s="262"/>
      <c r="F23" s="96"/>
      <c r="G23" s="201"/>
      <c r="H23" s="201"/>
      <c r="I23" s="96"/>
    </row>
    <row r="24" spans="1:9" ht="60">
      <c r="A24" s="129">
        <v>1</v>
      </c>
      <c r="B24" s="131" t="s">
        <v>28</v>
      </c>
      <c r="C24" s="263" t="s">
        <v>20</v>
      </c>
      <c r="D24" s="263"/>
      <c r="E24" s="263"/>
      <c r="F24" s="96"/>
      <c r="G24" s="201"/>
      <c r="H24" s="201"/>
      <c r="I24" s="96"/>
    </row>
    <row r="25" spans="1:9" ht="45">
      <c r="A25" s="129">
        <v>2</v>
      </c>
      <c r="B25" s="132" t="s">
        <v>29</v>
      </c>
      <c r="C25" s="305">
        <v>2402.87</v>
      </c>
      <c r="D25" s="305"/>
      <c r="E25" s="305"/>
      <c r="F25" s="96"/>
      <c r="G25" s="201"/>
      <c r="H25" s="201"/>
      <c r="I25" s="197"/>
    </row>
    <row r="26" spans="1:9" ht="75">
      <c r="A26" s="129">
        <v>3</v>
      </c>
      <c r="B26" s="132" t="s">
        <v>30</v>
      </c>
      <c r="C26" s="261" t="s">
        <v>192</v>
      </c>
      <c r="D26" s="261"/>
      <c r="E26" s="261"/>
      <c r="F26" s="96"/>
      <c r="G26" s="201"/>
      <c r="H26" s="201"/>
      <c r="I26" s="96"/>
    </row>
    <row r="27" spans="1:9" ht="45">
      <c r="A27" s="129">
        <v>4</v>
      </c>
      <c r="B27" s="132" t="s">
        <v>32</v>
      </c>
      <c r="C27" s="306">
        <f>ASG!C27</f>
        <v>45658</v>
      </c>
      <c r="D27" s="306"/>
      <c r="E27" s="306"/>
      <c r="F27" s="96"/>
      <c r="G27" s="201"/>
      <c r="H27" s="201"/>
      <c r="I27" s="96"/>
    </row>
    <row r="28" spans="1:9" ht="15.75">
      <c r="A28" s="96"/>
      <c r="B28" s="96"/>
      <c r="C28" s="96"/>
      <c r="D28" s="96"/>
      <c r="E28" s="96"/>
      <c r="F28" s="96"/>
      <c r="G28" s="201"/>
      <c r="H28" s="201"/>
      <c r="I28" s="96"/>
    </row>
    <row r="29" spans="1:9" ht="15.6" customHeight="1">
      <c r="A29" s="41"/>
      <c r="B29" s="41"/>
      <c r="C29" s="41"/>
      <c r="D29" s="41"/>
      <c r="E29" s="41"/>
      <c r="F29" s="41"/>
      <c r="G29" s="202"/>
      <c r="H29" s="202"/>
      <c r="I29" s="41"/>
    </row>
    <row r="30" spans="1:9" ht="15.75">
      <c r="A30" s="254" t="s">
        <v>33</v>
      </c>
      <c r="B30" s="254"/>
      <c r="C30" s="254"/>
      <c r="D30" s="254"/>
      <c r="E30" s="254"/>
      <c r="F30" s="254"/>
      <c r="G30" s="254"/>
      <c r="H30" s="254"/>
      <c r="I30" s="254"/>
    </row>
    <row r="31" spans="1:9" ht="16.5" thickBot="1">
      <c r="A31" s="41"/>
      <c r="B31" s="41"/>
      <c r="C31" s="41"/>
      <c r="D31" s="41"/>
      <c r="E31" s="41"/>
      <c r="F31" s="41"/>
      <c r="G31" s="202"/>
      <c r="H31" s="202"/>
      <c r="I31" s="41"/>
    </row>
    <row r="32" spans="1:9" ht="16.5" thickBot="1">
      <c r="A32" s="255" t="s">
        <v>34</v>
      </c>
      <c r="B32" s="257"/>
      <c r="C32" s="41"/>
      <c r="D32" s="41"/>
      <c r="E32" s="41"/>
      <c r="F32" s="41"/>
      <c r="G32" s="202"/>
      <c r="H32" s="202"/>
      <c r="I32" s="41"/>
    </row>
    <row r="33" spans="1:9" ht="15.75">
      <c r="A33" s="133" t="s">
        <v>193</v>
      </c>
      <c r="B33" s="192">
        <f>C25</f>
        <v>2402.87</v>
      </c>
      <c r="C33" s="41"/>
      <c r="D33" s="41"/>
      <c r="E33" s="41"/>
      <c r="F33" s="41"/>
      <c r="G33" s="202"/>
      <c r="H33" s="202"/>
      <c r="I33" s="41"/>
    </row>
    <row r="34" spans="1:9" ht="15.75">
      <c r="A34" s="41"/>
      <c r="B34" s="41"/>
      <c r="C34" s="41"/>
      <c r="D34" s="41"/>
      <c r="E34" s="41"/>
      <c r="F34" s="41"/>
      <c r="G34" s="202"/>
      <c r="H34" s="202"/>
      <c r="I34" s="41"/>
    </row>
    <row r="35" spans="1:9" ht="15.75">
      <c r="A35" s="41"/>
      <c r="B35" s="41"/>
      <c r="C35" s="41"/>
      <c r="D35" s="41"/>
      <c r="E35" s="41"/>
      <c r="F35" s="41"/>
      <c r="G35" s="202"/>
      <c r="H35" s="202"/>
      <c r="I35" s="41"/>
    </row>
    <row r="36" spans="1:9" ht="15.75">
      <c r="A36" s="254" t="s">
        <v>36</v>
      </c>
      <c r="B36" s="254"/>
      <c r="C36" s="254"/>
      <c r="D36" s="254"/>
      <c r="E36" s="254"/>
      <c r="F36" s="254"/>
      <c r="G36" s="254"/>
      <c r="H36" s="254"/>
      <c r="I36" s="254"/>
    </row>
    <row r="37" spans="1:9" ht="16.5" thickBot="1">
      <c r="A37" s="41"/>
      <c r="B37" s="41"/>
      <c r="C37" s="41"/>
      <c r="D37" s="41"/>
      <c r="E37" s="41"/>
      <c r="F37" s="41"/>
      <c r="G37" s="202"/>
      <c r="H37" s="202"/>
      <c r="I37" s="41"/>
    </row>
    <row r="38" spans="1:9" ht="16.5" thickBot="1">
      <c r="A38" s="255" t="s">
        <v>36</v>
      </c>
      <c r="B38" s="256"/>
      <c r="C38" s="256"/>
      <c r="D38" s="257"/>
      <c r="E38" s="41"/>
      <c r="F38" s="41"/>
      <c r="G38" s="202"/>
      <c r="H38" s="202"/>
      <c r="I38" s="41"/>
    </row>
    <row r="39" spans="1:9" ht="15.6" customHeight="1" thickBot="1">
      <c r="A39" s="46" t="s">
        <v>37</v>
      </c>
      <c r="B39" s="47" t="s">
        <v>38</v>
      </c>
      <c r="C39" s="47" t="s">
        <v>39</v>
      </c>
      <c r="D39" s="48" t="s">
        <v>40</v>
      </c>
      <c r="E39" s="41"/>
      <c r="F39" s="41"/>
      <c r="G39" s="202"/>
      <c r="H39" s="202"/>
      <c r="I39" s="41"/>
    </row>
    <row r="40" spans="1:9" ht="15.75">
      <c r="A40" s="133" t="s">
        <v>193</v>
      </c>
      <c r="B40" s="193">
        <f>B33</f>
        <v>2402.87</v>
      </c>
      <c r="C40" s="51">
        <v>0</v>
      </c>
      <c r="D40" s="52">
        <f>B40*C40</f>
        <v>0</v>
      </c>
      <c r="E40" s="41"/>
      <c r="F40" s="41"/>
      <c r="G40" s="202"/>
      <c r="H40" s="202"/>
      <c r="I40" s="41"/>
    </row>
    <row r="41" spans="1:9" ht="15.75">
      <c r="A41" s="41"/>
      <c r="B41" s="41"/>
      <c r="C41" s="41"/>
      <c r="D41" s="41"/>
      <c r="E41" s="41"/>
      <c r="F41" s="41"/>
      <c r="G41" s="202"/>
      <c r="H41" s="202"/>
      <c r="I41" s="41"/>
    </row>
    <row r="42" spans="1:9" ht="15.75">
      <c r="A42" s="41"/>
      <c r="B42" s="41"/>
      <c r="C42" s="41"/>
      <c r="D42" s="41"/>
      <c r="E42" s="41"/>
      <c r="F42" s="41"/>
      <c r="G42" s="202"/>
      <c r="H42" s="202"/>
      <c r="I42" s="41"/>
    </row>
    <row r="43" spans="1:9" ht="15.75">
      <c r="A43" s="254" t="s">
        <v>33</v>
      </c>
      <c r="B43" s="254"/>
      <c r="C43" s="254"/>
      <c r="D43" s="254"/>
      <c r="E43" s="254"/>
      <c r="F43" s="254"/>
      <c r="G43" s="254"/>
      <c r="H43" s="254"/>
      <c r="I43" s="254"/>
    </row>
    <row r="44" spans="1:9" ht="16.5" thickBot="1">
      <c r="A44" s="41"/>
      <c r="B44" s="41"/>
      <c r="C44" s="41"/>
      <c r="D44" s="41"/>
      <c r="E44" s="41"/>
      <c r="F44" s="41"/>
      <c r="G44" s="202"/>
      <c r="H44" s="202"/>
      <c r="I44" s="41"/>
    </row>
    <row r="45" spans="1:9" ht="16.5" thickBot="1">
      <c r="A45" s="267" t="s">
        <v>33</v>
      </c>
      <c r="B45" s="268"/>
      <c r="C45" s="268"/>
      <c r="D45" s="268"/>
      <c r="E45" s="268"/>
      <c r="F45" s="268"/>
      <c r="G45" s="268"/>
      <c r="H45" s="268"/>
      <c r="I45" s="269"/>
    </row>
    <row r="46" spans="1:9" ht="16.5" thickBot="1">
      <c r="A46" s="43" t="s">
        <v>37</v>
      </c>
      <c r="B46" s="44" t="s">
        <v>41</v>
      </c>
      <c r="C46" s="57" t="s">
        <v>42</v>
      </c>
      <c r="D46" s="44" t="s">
        <v>43</v>
      </c>
      <c r="E46" s="44" t="s">
        <v>43</v>
      </c>
      <c r="F46" s="44" t="s">
        <v>43</v>
      </c>
      <c r="G46" s="209"/>
      <c r="H46" s="209"/>
      <c r="I46" s="45" t="s">
        <v>44</v>
      </c>
    </row>
    <row r="47" spans="1:9" ht="15.75">
      <c r="A47" s="133" t="s">
        <v>193</v>
      </c>
      <c r="B47" s="193">
        <f>$B$33</f>
        <v>2402.87</v>
      </c>
      <c r="C47" s="50">
        <f>D40</f>
        <v>0</v>
      </c>
      <c r="D47" s="50"/>
      <c r="E47" s="50"/>
      <c r="F47" s="56"/>
      <c r="G47" s="210"/>
      <c r="H47" s="210"/>
      <c r="I47" s="52">
        <f>SUM(B47:F47)</f>
        <v>2402.87</v>
      </c>
    </row>
    <row r="48" spans="1:9" ht="15.75">
      <c r="A48" s="41"/>
      <c r="B48" s="41"/>
      <c r="C48" s="41"/>
      <c r="D48" s="41"/>
      <c r="E48" s="41"/>
      <c r="F48" s="41"/>
      <c r="G48" s="202"/>
      <c r="H48" s="202"/>
      <c r="I48" s="41"/>
    </row>
    <row r="49" spans="1:9" ht="15.75">
      <c r="A49" s="254" t="s">
        <v>45</v>
      </c>
      <c r="B49" s="254"/>
      <c r="C49" s="254"/>
      <c r="D49" s="254"/>
      <c r="E49" s="254"/>
      <c r="F49" s="254"/>
      <c r="G49" s="254"/>
      <c r="H49" s="254"/>
      <c r="I49" s="254"/>
    </row>
    <row r="50" spans="1:9" ht="15.75">
      <c r="A50" s="41"/>
      <c r="B50" s="41"/>
      <c r="C50" s="41"/>
      <c r="D50" s="41"/>
      <c r="E50" s="41"/>
      <c r="F50" s="41"/>
      <c r="G50" s="202"/>
      <c r="H50" s="202"/>
      <c r="I50" s="41"/>
    </row>
    <row r="51" spans="1:9" ht="15.75">
      <c r="A51" s="254" t="s">
        <v>46</v>
      </c>
      <c r="B51" s="254"/>
      <c r="C51" s="254"/>
      <c r="D51" s="254"/>
      <c r="E51" s="254"/>
      <c r="F51" s="254"/>
      <c r="G51" s="254"/>
      <c r="H51" s="254"/>
      <c r="I51" s="254"/>
    </row>
    <row r="52" spans="1:9" ht="16.5" thickBot="1">
      <c r="A52" s="41"/>
      <c r="B52" s="41"/>
      <c r="C52" s="41"/>
      <c r="D52" s="41"/>
      <c r="E52" s="41"/>
      <c r="F52" s="41"/>
      <c r="G52" s="202"/>
      <c r="H52" s="202"/>
      <c r="I52" s="41"/>
    </row>
    <row r="53" spans="1:9" ht="16.5" thickBot="1">
      <c r="A53" s="255" t="s">
        <v>47</v>
      </c>
      <c r="B53" s="256"/>
      <c r="C53" s="256"/>
      <c r="D53" s="257"/>
      <c r="E53" s="41"/>
      <c r="F53" s="41"/>
      <c r="G53" s="202"/>
      <c r="H53" s="202"/>
      <c r="I53" s="41"/>
    </row>
    <row r="54" spans="1:9" ht="16.5" thickBot="1">
      <c r="A54" s="58" t="s">
        <v>37</v>
      </c>
      <c r="B54" s="59" t="s">
        <v>38</v>
      </c>
      <c r="C54" s="59" t="s">
        <v>39</v>
      </c>
      <c r="D54" s="60" t="s">
        <v>40</v>
      </c>
      <c r="E54" s="41"/>
      <c r="F54" s="41"/>
      <c r="G54" s="202"/>
      <c r="H54" s="202"/>
      <c r="I54" s="41"/>
    </row>
    <row r="55" spans="1:9" ht="15.75">
      <c r="A55" s="133" t="s">
        <v>193</v>
      </c>
      <c r="B55" s="50">
        <f>I47</f>
        <v>2402.87</v>
      </c>
      <c r="C55" s="61">
        <v>8.3299999999999999E-2</v>
      </c>
      <c r="D55" s="52">
        <f>B55*C55</f>
        <v>200.15907099999998</v>
      </c>
      <c r="E55" s="41"/>
      <c r="F55" s="41"/>
      <c r="G55" s="202"/>
      <c r="H55" s="202"/>
      <c r="I55" s="41"/>
    </row>
    <row r="56" spans="1:9" ht="16.5" thickBot="1">
      <c r="A56" s="41"/>
      <c r="B56" s="41"/>
      <c r="C56" s="41"/>
      <c r="D56" s="41"/>
      <c r="E56" s="41"/>
      <c r="F56" s="41"/>
      <c r="G56" s="202"/>
      <c r="H56" s="202"/>
      <c r="I56" s="41"/>
    </row>
    <row r="57" spans="1:9" ht="16.5" thickBot="1">
      <c r="A57" s="267" t="s">
        <v>48</v>
      </c>
      <c r="B57" s="268"/>
      <c r="C57" s="268"/>
      <c r="D57" s="268"/>
      <c r="E57" s="269"/>
      <c r="F57" s="41"/>
      <c r="G57" s="202"/>
      <c r="H57" s="202"/>
      <c r="I57" s="41"/>
    </row>
    <row r="58" spans="1:9" ht="32.25" thickBot="1">
      <c r="A58" s="58" t="s">
        <v>37</v>
      </c>
      <c r="B58" s="59" t="s">
        <v>38</v>
      </c>
      <c r="C58" s="62" t="s">
        <v>49</v>
      </c>
      <c r="D58" s="59" t="s">
        <v>39</v>
      </c>
      <c r="E58" s="60" t="s">
        <v>40</v>
      </c>
      <c r="F58" s="41"/>
      <c r="G58" s="202"/>
      <c r="H58" s="202"/>
      <c r="I58" s="41"/>
    </row>
    <row r="59" spans="1:9" ht="15.75">
      <c r="A59" s="133" t="s">
        <v>193</v>
      </c>
      <c r="B59" s="50">
        <f>I47</f>
        <v>2402.87</v>
      </c>
      <c r="C59" s="54">
        <v>0.33329999999999999</v>
      </c>
      <c r="D59" s="61">
        <v>8.3299999999999999E-2</v>
      </c>
      <c r="E59" s="52">
        <f>B59*C59*D59</f>
        <v>66.713018364299984</v>
      </c>
      <c r="F59" s="41"/>
      <c r="G59" s="202"/>
      <c r="H59" s="202"/>
      <c r="I59" s="41"/>
    </row>
    <row r="60" spans="1:9" ht="16.5" thickBot="1">
      <c r="A60" s="41"/>
      <c r="B60" s="41"/>
      <c r="C60" s="41"/>
      <c r="D60" s="41"/>
      <c r="E60" s="41"/>
      <c r="F60" s="41"/>
      <c r="G60" s="202"/>
      <c r="H60" s="202"/>
      <c r="I60" s="41"/>
    </row>
    <row r="61" spans="1:9" ht="16.5" thickBot="1">
      <c r="A61" s="255" t="s">
        <v>50</v>
      </c>
      <c r="B61" s="256"/>
      <c r="C61" s="256"/>
      <c r="D61" s="257"/>
      <c r="E61" s="41"/>
      <c r="F61" s="41"/>
      <c r="G61" s="202"/>
      <c r="H61" s="202"/>
      <c r="I61" s="41"/>
    </row>
    <row r="62" spans="1:9" ht="16.5" thickBot="1">
      <c r="A62" s="58" t="s">
        <v>37</v>
      </c>
      <c r="B62" s="59" t="s">
        <v>38</v>
      </c>
      <c r="C62" s="59" t="s">
        <v>39</v>
      </c>
      <c r="D62" s="60" t="s">
        <v>40</v>
      </c>
      <c r="E62" s="41"/>
      <c r="F62" s="41"/>
      <c r="G62" s="202"/>
      <c r="H62" s="202"/>
      <c r="I62" s="41"/>
    </row>
    <row r="63" spans="1:9" ht="15.75">
      <c r="A63" s="133" t="s">
        <v>193</v>
      </c>
      <c r="B63" s="50">
        <f>I47</f>
        <v>2402.87</v>
      </c>
      <c r="C63" s="61">
        <v>8.3299999999999999E-2</v>
      </c>
      <c r="D63" s="52">
        <f>B63*C63</f>
        <v>200.15907099999998</v>
      </c>
      <c r="E63" s="41"/>
      <c r="F63" s="41"/>
      <c r="G63" s="202"/>
      <c r="H63" s="202"/>
      <c r="I63" s="41"/>
    </row>
    <row r="64" spans="1:9" ht="16.5" thickBot="1">
      <c r="A64" s="41"/>
      <c r="B64" s="41"/>
      <c r="C64" s="41"/>
      <c r="D64" s="41"/>
      <c r="E64" s="41"/>
      <c r="F64" s="41"/>
      <c r="G64" s="202"/>
      <c r="H64" s="202"/>
      <c r="I64" s="41"/>
    </row>
    <row r="65" spans="1:9" ht="16.5" thickBot="1">
      <c r="A65" s="255" t="s">
        <v>46</v>
      </c>
      <c r="B65" s="256"/>
      <c r="C65" s="256"/>
      <c r="D65" s="256"/>
      <c r="E65" s="257"/>
      <c r="F65" s="41"/>
      <c r="G65" s="202"/>
      <c r="H65" s="202"/>
      <c r="I65" s="41"/>
    </row>
    <row r="66" spans="1:9" ht="16.5" thickBot="1">
      <c r="A66" s="58" t="s">
        <v>37</v>
      </c>
      <c r="B66" s="59" t="s">
        <v>51</v>
      </c>
      <c r="C66" s="59" t="s">
        <v>52</v>
      </c>
      <c r="D66" s="59" t="s">
        <v>53</v>
      </c>
      <c r="E66" s="60" t="s">
        <v>44</v>
      </c>
      <c r="F66" s="41"/>
      <c r="G66" s="202"/>
      <c r="H66" s="202"/>
      <c r="I66" s="41"/>
    </row>
    <row r="67" spans="1:9" ht="15.75">
      <c r="A67" s="133" t="s">
        <v>193</v>
      </c>
      <c r="B67" s="50">
        <f>D55</f>
        <v>200.15907099999998</v>
      </c>
      <c r="C67" s="50">
        <f>E59</f>
        <v>66.713018364299984</v>
      </c>
      <c r="D67" s="50">
        <f>D63</f>
        <v>200.15907099999998</v>
      </c>
      <c r="E67" s="52">
        <f>SUM(B67:D67)</f>
        <v>467.03116036429998</v>
      </c>
      <c r="F67" s="41"/>
      <c r="G67" s="202"/>
      <c r="H67" s="202"/>
      <c r="I67" s="41"/>
    </row>
    <row r="68" spans="1:9" ht="15.75">
      <c r="A68" s="41"/>
      <c r="B68" s="41"/>
      <c r="C68" s="41"/>
      <c r="D68" s="41"/>
      <c r="E68" s="41"/>
      <c r="F68" s="41"/>
      <c r="G68" s="202"/>
      <c r="H68" s="202"/>
      <c r="I68" s="41"/>
    </row>
    <row r="69" spans="1:9" ht="15.75">
      <c r="A69" s="254" t="s">
        <v>54</v>
      </c>
      <c r="B69" s="254"/>
      <c r="C69" s="254"/>
      <c r="D69" s="254"/>
      <c r="E69" s="254"/>
      <c r="F69" s="254"/>
      <c r="G69" s="254"/>
      <c r="H69" s="254"/>
      <c r="I69" s="254"/>
    </row>
    <row r="70" spans="1:9" ht="16.5" thickBot="1">
      <c r="A70" s="41"/>
      <c r="B70" s="41"/>
      <c r="C70" s="41"/>
      <c r="D70" s="41"/>
      <c r="E70" s="41"/>
      <c r="F70" s="41"/>
      <c r="G70" s="202"/>
      <c r="H70" s="202"/>
      <c r="I70" s="41"/>
    </row>
    <row r="71" spans="1:9" ht="16.5" thickBot="1">
      <c r="A71" s="255" t="s">
        <v>55</v>
      </c>
      <c r="B71" s="257"/>
      <c r="C71" s="41"/>
      <c r="D71" s="41"/>
      <c r="E71" s="41"/>
      <c r="F71" s="41"/>
      <c r="G71" s="202"/>
      <c r="H71" s="202"/>
      <c r="I71" s="41"/>
    </row>
    <row r="72" spans="1:9" ht="16.5" thickBot="1">
      <c r="A72" s="58" t="s">
        <v>56</v>
      </c>
      <c r="B72" s="60" t="s">
        <v>39</v>
      </c>
      <c r="C72" s="41"/>
      <c r="D72" s="41"/>
      <c r="E72" s="41"/>
      <c r="F72" s="41"/>
      <c r="G72" s="202"/>
      <c r="H72" s="202"/>
      <c r="I72" s="41"/>
    </row>
    <row r="73" spans="1:9" ht="15.75">
      <c r="A73" s="49" t="s">
        <v>57</v>
      </c>
      <c r="B73" s="198">
        <v>0.2</v>
      </c>
      <c r="C73" s="41"/>
      <c r="D73" s="41"/>
      <c r="E73" s="41"/>
      <c r="F73" s="41"/>
      <c r="G73" s="202"/>
      <c r="H73" s="202"/>
      <c r="I73" s="41"/>
    </row>
    <row r="74" spans="1:9" ht="15.75">
      <c r="A74" s="53" t="s">
        <v>58</v>
      </c>
      <c r="B74" s="199">
        <v>2.5000000000000001E-2</v>
      </c>
      <c r="C74" s="41"/>
      <c r="D74" s="41"/>
      <c r="E74" s="41"/>
      <c r="F74" s="41"/>
      <c r="G74" s="202"/>
      <c r="H74" s="202"/>
      <c r="I74" s="41"/>
    </row>
    <row r="75" spans="1:9" ht="15.75">
      <c r="A75" s="53" t="s">
        <v>59</v>
      </c>
      <c r="B75" s="199">
        <v>0.03</v>
      </c>
      <c r="C75" s="41"/>
      <c r="D75" s="41"/>
      <c r="E75" s="41"/>
      <c r="F75" s="41"/>
      <c r="G75" s="202"/>
      <c r="H75" s="202"/>
      <c r="I75" s="41"/>
    </row>
    <row r="76" spans="1:9" ht="15.75">
      <c r="A76" s="53" t="s">
        <v>60</v>
      </c>
      <c r="B76" s="199">
        <v>1.4999999999999999E-2</v>
      </c>
      <c r="C76" s="41"/>
      <c r="D76" s="41"/>
      <c r="E76" s="41"/>
      <c r="F76" s="41"/>
      <c r="G76" s="202"/>
      <c r="H76" s="202"/>
      <c r="I76" s="41"/>
    </row>
    <row r="77" spans="1:9" ht="15.75">
      <c r="A77" s="53" t="s">
        <v>61</v>
      </c>
      <c r="B77" s="199">
        <v>0.01</v>
      </c>
      <c r="C77" s="41"/>
      <c r="D77" s="41"/>
      <c r="E77" s="41"/>
      <c r="F77" s="41"/>
      <c r="G77" s="202"/>
      <c r="H77" s="202"/>
      <c r="I77" s="41"/>
    </row>
    <row r="78" spans="1:9" ht="15.75">
      <c r="A78" s="53" t="s">
        <v>62</v>
      </c>
      <c r="B78" s="199">
        <v>6.0000000000000001E-3</v>
      </c>
      <c r="C78" s="41"/>
      <c r="D78" s="41"/>
      <c r="E78" s="41"/>
      <c r="F78" s="41"/>
      <c r="G78" s="202"/>
      <c r="H78" s="202"/>
      <c r="I78" s="41"/>
    </row>
    <row r="79" spans="1:9" ht="15.75">
      <c r="A79" s="53" t="s">
        <v>63</v>
      </c>
      <c r="B79" s="199">
        <v>2E-3</v>
      </c>
      <c r="C79" s="41"/>
      <c r="D79" s="41"/>
      <c r="E79" s="41"/>
      <c r="F79" s="41"/>
      <c r="G79" s="202"/>
      <c r="H79" s="202"/>
      <c r="I79" s="41"/>
    </row>
    <row r="80" spans="1:9" ht="16.5" thickBot="1">
      <c r="A80" s="42" t="s">
        <v>64</v>
      </c>
      <c r="B80" s="200">
        <v>0.08</v>
      </c>
      <c r="C80" s="41"/>
      <c r="D80" s="41"/>
      <c r="E80" s="41"/>
      <c r="F80" s="41"/>
      <c r="G80" s="202"/>
      <c r="H80" s="202"/>
      <c r="I80" s="41"/>
    </row>
    <row r="81" spans="1:9" ht="16.5" thickBot="1">
      <c r="A81" s="66" t="s">
        <v>65</v>
      </c>
      <c r="B81" s="67">
        <v>0.36800000000000005</v>
      </c>
      <c r="C81" s="41"/>
      <c r="D81" s="41"/>
      <c r="E81" s="41"/>
      <c r="F81" s="41"/>
      <c r="G81" s="202"/>
      <c r="H81" s="202"/>
      <c r="I81" s="41"/>
    </row>
    <row r="82" spans="1:9" ht="16.5" thickBot="1">
      <c r="A82" s="41"/>
      <c r="B82" s="41"/>
      <c r="C82" s="41"/>
      <c r="D82" s="41"/>
      <c r="E82" s="41"/>
      <c r="F82" s="41"/>
      <c r="G82" s="202"/>
      <c r="H82" s="202"/>
      <c r="I82" s="41"/>
    </row>
    <row r="83" spans="1:9" ht="16.5" thickBot="1">
      <c r="A83" s="255" t="s">
        <v>66</v>
      </c>
      <c r="B83" s="256"/>
      <c r="C83" s="256"/>
      <c r="D83" s="257"/>
      <c r="E83" s="41"/>
      <c r="F83" s="41"/>
      <c r="G83" s="202"/>
      <c r="H83" s="202"/>
      <c r="I83" s="41"/>
    </row>
    <row r="84" spans="1:9" ht="16.5" thickBot="1">
      <c r="A84" s="58" t="s">
        <v>37</v>
      </c>
      <c r="B84" s="59" t="s">
        <v>38</v>
      </c>
      <c r="C84" s="59" t="s">
        <v>39</v>
      </c>
      <c r="D84" s="60" t="s">
        <v>40</v>
      </c>
      <c r="E84" s="41"/>
      <c r="F84" s="41"/>
      <c r="G84" s="202"/>
      <c r="H84" s="202"/>
      <c r="I84" s="41"/>
    </row>
    <row r="85" spans="1:9" ht="15.75">
      <c r="A85" s="133" t="s">
        <v>193</v>
      </c>
      <c r="B85" s="50">
        <f>I47+E67</f>
        <v>2869.9011603642998</v>
      </c>
      <c r="C85" s="61">
        <f>$B$81-$B$80</f>
        <v>0.28800000000000003</v>
      </c>
      <c r="D85" s="52">
        <f>B85*C85</f>
        <v>826.53153418491843</v>
      </c>
      <c r="E85" s="41"/>
      <c r="F85" s="41"/>
      <c r="G85" s="202"/>
      <c r="H85" s="202"/>
      <c r="I85" s="41"/>
    </row>
    <row r="86" spans="1:9" ht="16.5" thickBot="1">
      <c r="A86" s="41"/>
      <c r="B86" s="41"/>
      <c r="C86" s="41"/>
      <c r="D86" s="41"/>
      <c r="E86" s="41"/>
      <c r="F86" s="41"/>
      <c r="G86" s="202"/>
      <c r="H86" s="202"/>
      <c r="I86" s="41"/>
    </row>
    <row r="87" spans="1:9" ht="16.5" thickBot="1">
      <c r="A87" s="255" t="s">
        <v>67</v>
      </c>
      <c r="B87" s="256"/>
      <c r="C87" s="256"/>
      <c r="D87" s="257"/>
      <c r="E87" s="41"/>
      <c r="F87" s="41"/>
      <c r="G87" s="202"/>
      <c r="H87" s="202"/>
      <c r="I87" s="41"/>
    </row>
    <row r="88" spans="1:9" ht="16.5" thickBot="1">
      <c r="A88" s="58" t="s">
        <v>37</v>
      </c>
      <c r="B88" s="59" t="s">
        <v>38</v>
      </c>
      <c r="C88" s="59" t="s">
        <v>39</v>
      </c>
      <c r="D88" s="60" t="s">
        <v>40</v>
      </c>
      <c r="E88" s="41"/>
      <c r="F88" s="41"/>
      <c r="G88" s="202"/>
      <c r="H88" s="202"/>
      <c r="I88" s="41"/>
    </row>
    <row r="89" spans="1:9" ht="15.75">
      <c r="A89" s="133" t="s">
        <v>193</v>
      </c>
      <c r="B89" s="50">
        <f>I47+E67</f>
        <v>2869.9011603642998</v>
      </c>
      <c r="C89" s="61">
        <f>$B$80</f>
        <v>0.08</v>
      </c>
      <c r="D89" s="52">
        <f>B89*C89</f>
        <v>229.59209282914398</v>
      </c>
      <c r="E89" s="41"/>
      <c r="F89" s="41"/>
      <c r="G89" s="202"/>
      <c r="H89" s="202"/>
      <c r="I89" s="41"/>
    </row>
    <row r="90" spans="1:9" ht="16.5" thickBot="1">
      <c r="A90" s="41"/>
      <c r="B90" s="41"/>
      <c r="C90" s="41"/>
      <c r="D90" s="41"/>
      <c r="E90" s="41"/>
      <c r="F90" s="41"/>
      <c r="G90" s="202"/>
      <c r="H90" s="202"/>
      <c r="I90" s="41"/>
    </row>
    <row r="91" spans="1:9" ht="16.5" thickBot="1">
      <c r="A91" s="255" t="s">
        <v>54</v>
      </c>
      <c r="B91" s="256"/>
      <c r="C91" s="256"/>
      <c r="D91" s="257"/>
      <c r="E91" s="41"/>
      <c r="F91" s="41"/>
      <c r="G91" s="202"/>
      <c r="H91" s="202"/>
      <c r="I91" s="41"/>
    </row>
    <row r="92" spans="1:9" ht="16.5" thickBot="1">
      <c r="A92" s="58" t="s">
        <v>37</v>
      </c>
      <c r="B92" s="59" t="s">
        <v>68</v>
      </c>
      <c r="C92" s="59" t="s">
        <v>64</v>
      </c>
      <c r="D92" s="60" t="s">
        <v>44</v>
      </c>
      <c r="E92" s="41"/>
      <c r="F92" s="41"/>
      <c r="G92" s="202"/>
      <c r="H92" s="202"/>
      <c r="I92" s="41"/>
    </row>
    <row r="93" spans="1:9" ht="15.75">
      <c r="A93" s="133" t="s">
        <v>193</v>
      </c>
      <c r="B93" s="50">
        <f>D85</f>
        <v>826.53153418491843</v>
      </c>
      <c r="C93" s="50">
        <f>D89</f>
        <v>229.59209282914398</v>
      </c>
      <c r="D93" s="52">
        <f>B93+C93</f>
        <v>1056.1236270140623</v>
      </c>
      <c r="E93" s="41"/>
      <c r="F93" s="41"/>
      <c r="G93" s="202"/>
      <c r="H93" s="202"/>
      <c r="I93" s="41"/>
    </row>
    <row r="94" spans="1:9" ht="15.75">
      <c r="A94" s="41"/>
      <c r="B94" s="41"/>
      <c r="C94" s="41"/>
      <c r="D94" s="41"/>
      <c r="E94" s="41"/>
      <c r="F94" s="41"/>
      <c r="G94" s="202"/>
      <c r="H94" s="202"/>
      <c r="I94" s="41"/>
    </row>
    <row r="95" spans="1:9" ht="15.75">
      <c r="A95" s="254" t="s">
        <v>69</v>
      </c>
      <c r="B95" s="254"/>
      <c r="C95" s="254"/>
      <c r="D95" s="254"/>
      <c r="E95" s="254"/>
      <c r="F95" s="254"/>
      <c r="G95" s="254"/>
      <c r="H95" s="254"/>
      <c r="I95" s="254"/>
    </row>
    <row r="96" spans="1:9" ht="15.75">
      <c r="A96" s="41"/>
      <c r="B96" s="41"/>
      <c r="C96" s="41"/>
      <c r="D96" s="41"/>
      <c r="E96" s="41"/>
      <c r="F96" s="41"/>
      <c r="G96" s="202"/>
      <c r="H96" s="202"/>
      <c r="I96" s="41"/>
    </row>
    <row r="97" spans="1:9" ht="15.75">
      <c r="A97" s="254" t="s">
        <v>70</v>
      </c>
      <c r="B97" s="254"/>
      <c r="C97" s="254"/>
      <c r="D97" s="254"/>
      <c r="E97" s="254"/>
      <c r="F97" s="254"/>
      <c r="G97" s="254"/>
      <c r="H97" s="254"/>
      <c r="I97" s="254"/>
    </row>
    <row r="98" spans="1:9" ht="16.5" thickBot="1">
      <c r="A98" s="41"/>
      <c r="B98" s="41"/>
      <c r="C98" s="41"/>
      <c r="D98" s="41"/>
      <c r="E98" s="41"/>
      <c r="F98" s="41"/>
      <c r="G98" s="202"/>
      <c r="H98" s="202"/>
      <c r="I98" s="41"/>
    </row>
    <row r="99" spans="1:9" ht="16.5" thickBot="1">
      <c r="A99" s="255" t="s">
        <v>71</v>
      </c>
      <c r="B99" s="256"/>
      <c r="C99" s="256"/>
      <c r="D99" s="256"/>
      <c r="E99" s="257"/>
      <c r="F99" s="41"/>
      <c r="G99" s="202"/>
      <c r="H99" s="202"/>
      <c r="I99" s="41"/>
    </row>
    <row r="100" spans="1:9" ht="48" thickBot="1">
      <c r="A100" s="58" t="s">
        <v>37</v>
      </c>
      <c r="B100" s="59" t="s">
        <v>72</v>
      </c>
      <c r="C100" s="59" t="s">
        <v>73</v>
      </c>
      <c r="D100" s="62" t="s">
        <v>74</v>
      </c>
      <c r="E100" s="60" t="s">
        <v>75</v>
      </c>
      <c r="F100" s="41"/>
      <c r="G100" s="202"/>
      <c r="H100" s="202"/>
      <c r="I100" s="41"/>
    </row>
    <row r="101" spans="1:9" ht="15.75">
      <c r="A101" s="133" t="s">
        <v>193</v>
      </c>
      <c r="B101" s="50">
        <v>4.5</v>
      </c>
      <c r="C101" s="68">
        <v>4</v>
      </c>
      <c r="D101" s="68">
        <v>22</v>
      </c>
      <c r="E101" s="52">
        <f>B101*C101*D101</f>
        <v>396</v>
      </c>
      <c r="F101" s="41"/>
      <c r="G101" s="202"/>
      <c r="H101" s="202"/>
      <c r="I101" s="41"/>
    </row>
    <row r="102" spans="1:9" ht="16.5" thickBot="1">
      <c r="A102" s="41"/>
      <c r="B102" s="41"/>
      <c r="C102" s="41"/>
      <c r="D102" s="41"/>
      <c r="E102" s="41"/>
      <c r="F102" s="41"/>
      <c r="G102" s="202"/>
      <c r="H102" s="202"/>
      <c r="I102" s="41"/>
    </row>
    <row r="103" spans="1:9" ht="16.5" thickBot="1">
      <c r="A103" s="255" t="s">
        <v>76</v>
      </c>
      <c r="B103" s="256"/>
      <c r="C103" s="256"/>
      <c r="D103" s="256"/>
      <c r="E103" s="257"/>
      <c r="F103" s="41"/>
      <c r="G103" s="202"/>
      <c r="H103" s="202"/>
      <c r="I103" s="41"/>
    </row>
    <row r="104" spans="1:9" ht="16.5" thickBot="1">
      <c r="A104" s="58" t="s">
        <v>37</v>
      </c>
      <c r="B104" s="59" t="s">
        <v>38</v>
      </c>
      <c r="C104" s="59" t="s">
        <v>77</v>
      </c>
      <c r="D104" s="59" t="s">
        <v>39</v>
      </c>
      <c r="E104" s="60" t="s">
        <v>78</v>
      </c>
      <c r="F104" s="41"/>
      <c r="G104" s="202"/>
      <c r="H104" s="202"/>
      <c r="I104" s="41"/>
    </row>
    <row r="105" spans="1:9" ht="15.75">
      <c r="A105" s="133" t="s">
        <v>193</v>
      </c>
      <c r="B105" s="50">
        <f>$B$33</f>
        <v>2402.87</v>
      </c>
      <c r="C105" s="51">
        <v>1</v>
      </c>
      <c r="D105" s="51">
        <v>0.06</v>
      </c>
      <c r="E105" s="52">
        <f>B105*C105*D105</f>
        <v>144.17219999999998</v>
      </c>
      <c r="F105" s="41"/>
      <c r="G105" s="202"/>
      <c r="H105" s="202"/>
      <c r="I105" s="41"/>
    </row>
    <row r="106" spans="1:9" ht="16.5" thickBot="1">
      <c r="A106" s="41"/>
      <c r="B106" s="41"/>
      <c r="C106" s="41"/>
      <c r="D106" s="41"/>
      <c r="E106" s="41"/>
      <c r="F106" s="41"/>
      <c r="G106" s="202"/>
      <c r="H106" s="202"/>
      <c r="I106" s="41"/>
    </row>
    <row r="107" spans="1:9" ht="16.5" thickBot="1">
      <c r="A107" s="255" t="s">
        <v>79</v>
      </c>
      <c r="B107" s="256"/>
      <c r="C107" s="256"/>
      <c r="D107" s="257"/>
      <c r="E107" s="41"/>
      <c r="F107" s="41"/>
      <c r="G107" s="202"/>
      <c r="H107" s="202"/>
      <c r="I107" s="41"/>
    </row>
    <row r="108" spans="1:9" ht="16.5" thickBot="1">
      <c r="A108" s="58" t="s">
        <v>37</v>
      </c>
      <c r="B108" s="59" t="s">
        <v>75</v>
      </c>
      <c r="C108" s="59" t="s">
        <v>80</v>
      </c>
      <c r="D108" s="60" t="s">
        <v>81</v>
      </c>
      <c r="E108" s="41"/>
      <c r="F108" s="41"/>
      <c r="G108" s="202"/>
      <c r="H108" s="202"/>
      <c r="I108" s="41"/>
    </row>
    <row r="109" spans="1:9" ht="15.75">
      <c r="A109" s="133" t="s">
        <v>193</v>
      </c>
      <c r="B109" s="50">
        <f>E101</f>
        <v>396</v>
      </c>
      <c r="C109" s="50">
        <f>E105</f>
        <v>144.17219999999998</v>
      </c>
      <c r="D109" s="52">
        <f>B109-C109</f>
        <v>251.82780000000002</v>
      </c>
      <c r="E109" s="41"/>
      <c r="F109" s="41"/>
      <c r="G109" s="202"/>
      <c r="H109" s="202"/>
      <c r="I109" s="41"/>
    </row>
    <row r="110" spans="1:9" ht="15.75">
      <c r="A110" s="41"/>
      <c r="B110" s="41"/>
      <c r="C110" s="41"/>
      <c r="D110" s="41"/>
      <c r="E110" s="41"/>
      <c r="F110" s="41"/>
      <c r="G110" s="202"/>
      <c r="H110" s="202"/>
      <c r="I110" s="41"/>
    </row>
    <row r="111" spans="1:9" ht="15.75">
      <c r="A111" s="254" t="s">
        <v>82</v>
      </c>
      <c r="B111" s="254"/>
      <c r="C111" s="254"/>
      <c r="D111" s="254"/>
      <c r="E111" s="254"/>
      <c r="F111" s="254"/>
      <c r="G111" s="254"/>
      <c r="H111" s="254"/>
      <c r="I111" s="254"/>
    </row>
    <row r="112" spans="1:9" ht="16.5" thickBot="1">
      <c r="A112" s="41"/>
      <c r="B112" s="41"/>
      <c r="C112" s="41"/>
      <c r="D112" s="41"/>
      <c r="E112" s="41"/>
      <c r="F112" s="41"/>
      <c r="G112" s="202"/>
      <c r="H112" s="202"/>
      <c r="I112" s="41"/>
    </row>
    <row r="113" spans="1:9" ht="16.5" thickBot="1">
      <c r="A113" s="255" t="s">
        <v>82</v>
      </c>
      <c r="B113" s="256"/>
      <c r="C113" s="256"/>
      <c r="D113" s="257"/>
      <c r="E113" s="41"/>
      <c r="F113" s="41"/>
      <c r="G113" s="202"/>
      <c r="H113" s="202"/>
      <c r="I113" s="41"/>
    </row>
    <row r="114" spans="1:9" ht="48" thickBot="1">
      <c r="A114" s="46" t="s">
        <v>37</v>
      </c>
      <c r="B114" s="47" t="s">
        <v>83</v>
      </c>
      <c r="C114" s="55" t="s">
        <v>74</v>
      </c>
      <c r="D114" s="48" t="s">
        <v>40</v>
      </c>
      <c r="E114" s="41"/>
      <c r="F114" s="41"/>
      <c r="G114" s="202"/>
      <c r="H114" s="202"/>
      <c r="I114" s="41"/>
    </row>
    <row r="115" spans="1:9" ht="15.75">
      <c r="A115" s="133" t="s">
        <v>193</v>
      </c>
      <c r="B115" s="193">
        <f>ASG!B115</f>
        <v>23</v>
      </c>
      <c r="C115" s="68">
        <v>22</v>
      </c>
      <c r="D115" s="52">
        <f>B115*C115</f>
        <v>506</v>
      </c>
      <c r="E115" s="41"/>
      <c r="F115" s="41"/>
      <c r="G115" s="202"/>
      <c r="H115" s="202"/>
      <c r="I115" s="41"/>
    </row>
    <row r="116" spans="1:9" ht="16.5" thickBot="1">
      <c r="A116" s="41"/>
      <c r="B116" s="41"/>
      <c r="C116" s="41"/>
      <c r="D116" s="41"/>
      <c r="E116" s="41"/>
      <c r="F116" s="41"/>
      <c r="G116" s="202"/>
      <c r="H116" s="202"/>
      <c r="I116" s="41"/>
    </row>
    <row r="117" spans="1:9" ht="16.5" thickBot="1">
      <c r="A117" s="255" t="s">
        <v>84</v>
      </c>
      <c r="B117" s="256"/>
      <c r="C117" s="256"/>
      <c r="D117" s="257"/>
      <c r="E117" s="41"/>
      <c r="F117" s="41"/>
      <c r="G117" s="202"/>
      <c r="H117" s="202"/>
      <c r="I117" s="41"/>
    </row>
    <row r="118" spans="1:9" ht="16.5" thickBot="1">
      <c r="A118" s="58" t="s">
        <v>37</v>
      </c>
      <c r="B118" s="59" t="s">
        <v>38</v>
      </c>
      <c r="C118" s="59" t="s">
        <v>39</v>
      </c>
      <c r="D118" s="60" t="s">
        <v>78</v>
      </c>
      <c r="E118" s="41"/>
      <c r="F118" s="41"/>
      <c r="G118" s="202"/>
      <c r="H118" s="202"/>
      <c r="I118" s="41"/>
    </row>
    <row r="119" spans="1:9" ht="15.75">
      <c r="A119" s="133" t="s">
        <v>193</v>
      </c>
      <c r="B119" s="50">
        <f>D115</f>
        <v>506</v>
      </c>
      <c r="C119" s="51">
        <v>0.1</v>
      </c>
      <c r="D119" s="52">
        <f>B119*C119</f>
        <v>50.6</v>
      </c>
      <c r="E119" s="41"/>
      <c r="F119" s="41"/>
      <c r="G119" s="202"/>
      <c r="H119" s="202"/>
      <c r="I119" s="41"/>
    </row>
    <row r="120" spans="1:9" ht="16.5" thickBot="1">
      <c r="A120" s="41"/>
      <c r="B120" s="41"/>
      <c r="C120" s="41"/>
      <c r="D120" s="41"/>
      <c r="E120" s="41"/>
      <c r="F120" s="41"/>
      <c r="G120" s="202"/>
      <c r="H120" s="202"/>
      <c r="I120" s="41"/>
    </row>
    <row r="121" spans="1:9" ht="16.5" thickBot="1">
      <c r="A121" s="255" t="s">
        <v>85</v>
      </c>
      <c r="B121" s="256"/>
      <c r="C121" s="256"/>
      <c r="D121" s="257"/>
      <c r="E121" s="41"/>
      <c r="F121" s="41"/>
      <c r="G121" s="202"/>
      <c r="H121" s="202"/>
      <c r="I121" s="41"/>
    </row>
    <row r="122" spans="1:9" ht="16.5" thickBot="1">
      <c r="A122" s="58" t="s">
        <v>37</v>
      </c>
      <c r="B122" s="59" t="s">
        <v>75</v>
      </c>
      <c r="C122" s="59" t="s">
        <v>80</v>
      </c>
      <c r="D122" s="60" t="s">
        <v>81</v>
      </c>
      <c r="E122" s="41"/>
      <c r="F122" s="41"/>
      <c r="G122" s="202"/>
      <c r="H122" s="202"/>
      <c r="I122" s="41"/>
    </row>
    <row r="123" spans="1:9" ht="15.75">
      <c r="A123" s="133" t="s">
        <v>193</v>
      </c>
      <c r="B123" s="50">
        <f>D115</f>
        <v>506</v>
      </c>
      <c r="C123" s="50">
        <f>D119</f>
        <v>50.6</v>
      </c>
      <c r="D123" s="52">
        <f>B123-C123</f>
        <v>455.4</v>
      </c>
      <c r="E123" s="41"/>
      <c r="F123" s="41"/>
      <c r="G123" s="202"/>
      <c r="H123" s="202"/>
      <c r="I123" s="41"/>
    </row>
    <row r="124" spans="1:9" ht="15.75">
      <c r="A124" s="41"/>
      <c r="B124" s="41"/>
      <c r="C124" s="41"/>
      <c r="D124" s="41"/>
      <c r="E124" s="41"/>
      <c r="F124" s="41"/>
      <c r="G124" s="202"/>
      <c r="H124" s="202"/>
      <c r="I124" s="41"/>
    </row>
    <row r="125" spans="1:9" ht="15.75">
      <c r="A125" s="254" t="s">
        <v>86</v>
      </c>
      <c r="B125" s="254"/>
      <c r="C125" s="254"/>
      <c r="D125" s="254"/>
      <c r="E125" s="254"/>
      <c r="F125" s="254"/>
      <c r="G125" s="254"/>
      <c r="H125" s="254"/>
      <c r="I125" s="254"/>
    </row>
    <row r="126" spans="1:9" ht="16.5" thickBot="1">
      <c r="A126" s="41"/>
      <c r="B126" s="41"/>
      <c r="C126" s="41"/>
      <c r="D126" s="41"/>
      <c r="E126" s="41"/>
      <c r="F126" s="41"/>
      <c r="G126" s="202"/>
      <c r="H126" s="202"/>
      <c r="I126" s="41"/>
    </row>
    <row r="127" spans="1:9" ht="16.5" thickBot="1">
      <c r="A127" s="255" t="s">
        <v>87</v>
      </c>
      <c r="B127" s="256"/>
      <c r="C127" s="256"/>
      <c r="D127" s="257"/>
      <c r="E127" s="41"/>
      <c r="F127" s="41"/>
      <c r="G127" s="202"/>
      <c r="H127" s="202"/>
      <c r="I127" s="41"/>
    </row>
    <row r="128" spans="1:9" ht="16.5" thickBot="1">
      <c r="A128" s="58" t="s">
        <v>37</v>
      </c>
      <c r="B128" s="59" t="s">
        <v>38</v>
      </c>
      <c r="C128" s="59" t="s">
        <v>78</v>
      </c>
      <c r="D128" s="60" t="s">
        <v>40</v>
      </c>
      <c r="E128" s="41"/>
      <c r="F128" s="41"/>
      <c r="G128" s="202"/>
      <c r="H128" s="202"/>
      <c r="I128" s="41"/>
    </row>
    <row r="129" spans="1:13" ht="15.75">
      <c r="A129" s="133" t="s">
        <v>193</v>
      </c>
      <c r="B129" s="193">
        <f>ASG!B129</f>
        <v>150</v>
      </c>
      <c r="C129" s="50">
        <v>0</v>
      </c>
      <c r="D129" s="52">
        <f>B129-C129</f>
        <v>150</v>
      </c>
      <c r="E129" s="41"/>
      <c r="F129" s="41"/>
      <c r="G129" s="202"/>
      <c r="H129" s="202"/>
      <c r="I129" s="41"/>
    </row>
    <row r="130" spans="1:13" ht="15.75">
      <c r="A130" s="41"/>
      <c r="B130" s="41"/>
      <c r="C130" s="41"/>
      <c r="D130" s="41"/>
      <c r="E130" s="41"/>
      <c r="F130" s="41"/>
      <c r="G130" s="202"/>
      <c r="H130" s="202"/>
      <c r="I130" s="41"/>
    </row>
    <row r="131" spans="1:13" ht="15.75">
      <c r="A131" s="254" t="s">
        <v>88</v>
      </c>
      <c r="B131" s="254"/>
      <c r="C131" s="254"/>
      <c r="D131" s="254"/>
      <c r="E131" s="254"/>
      <c r="F131" s="254"/>
      <c r="G131" s="254"/>
      <c r="H131" s="254"/>
      <c r="I131" s="254"/>
    </row>
    <row r="132" spans="1:13" ht="16.5" thickBot="1">
      <c r="A132" s="41"/>
      <c r="B132" s="41"/>
      <c r="C132" s="41"/>
      <c r="D132" s="41"/>
      <c r="E132" s="41"/>
      <c r="F132" s="41"/>
      <c r="G132" s="202"/>
      <c r="H132" s="202"/>
      <c r="I132" s="41"/>
    </row>
    <row r="133" spans="1:13" ht="16.5" thickBot="1">
      <c r="A133" s="255" t="s">
        <v>89</v>
      </c>
      <c r="B133" s="256"/>
      <c r="C133" s="256"/>
      <c r="D133" s="257"/>
      <c r="E133" s="41"/>
      <c r="F133" s="41"/>
      <c r="G133" s="202"/>
      <c r="H133" s="202"/>
      <c r="I133" s="41"/>
    </row>
    <row r="134" spans="1:13" ht="16.5" thickBot="1">
      <c r="A134" s="58" t="s">
        <v>37</v>
      </c>
      <c r="B134" s="59" t="s">
        <v>38</v>
      </c>
      <c r="C134" s="59" t="s">
        <v>78</v>
      </c>
      <c r="D134" s="60" t="s">
        <v>40</v>
      </c>
      <c r="E134" s="41"/>
      <c r="F134" s="41"/>
      <c r="G134" s="202"/>
      <c r="H134" s="202"/>
      <c r="I134" s="41"/>
    </row>
    <row r="135" spans="1:13" ht="15.75">
      <c r="A135" s="133" t="s">
        <v>193</v>
      </c>
      <c r="B135" s="193">
        <f>ASG!B135</f>
        <v>15</v>
      </c>
      <c r="C135" s="50">
        <v>0</v>
      </c>
      <c r="D135" s="52">
        <f>B135-C135</f>
        <v>15</v>
      </c>
      <c r="E135" s="41"/>
      <c r="F135" s="41"/>
      <c r="G135" s="202"/>
      <c r="H135" s="202"/>
      <c r="I135" s="41"/>
    </row>
    <row r="136" spans="1:13" ht="15.75">
      <c r="A136" s="203"/>
      <c r="B136" s="204"/>
      <c r="C136" s="205"/>
      <c r="D136" s="206"/>
      <c r="E136" s="191"/>
      <c r="F136" s="191"/>
      <c r="G136" s="202"/>
      <c r="H136" s="202"/>
      <c r="I136" s="191"/>
    </row>
    <row r="137" spans="1:13" ht="15.75">
      <c r="A137" s="254" t="s">
        <v>410</v>
      </c>
      <c r="B137" s="254"/>
      <c r="C137" s="254"/>
      <c r="D137" s="254"/>
      <c r="E137" s="254"/>
      <c r="F137" s="254"/>
      <c r="G137" s="254"/>
      <c r="H137" s="254"/>
      <c r="I137" s="254"/>
    </row>
    <row r="138" spans="1:13" ht="16.5" thickBot="1">
      <c r="A138" s="191"/>
      <c r="B138" s="191"/>
      <c r="C138" s="191"/>
      <c r="D138" s="191"/>
      <c r="E138" s="191"/>
      <c r="F138" s="191"/>
      <c r="G138" s="202"/>
      <c r="H138" s="202"/>
      <c r="I138" s="191"/>
    </row>
    <row r="139" spans="1:13" ht="16.5" thickBot="1">
      <c r="A139" s="255" t="s">
        <v>411</v>
      </c>
      <c r="B139" s="256"/>
      <c r="C139" s="256"/>
      <c r="D139" s="257"/>
      <c r="E139" s="191"/>
      <c r="F139" s="191"/>
      <c r="G139" s="202"/>
      <c r="H139" s="202"/>
      <c r="I139" s="191"/>
    </row>
    <row r="140" spans="1:13" ht="16.5" thickBot="1">
      <c r="A140" s="58" t="s">
        <v>37</v>
      </c>
      <c r="B140" s="59" t="s">
        <v>38</v>
      </c>
      <c r="C140" s="59" t="s">
        <v>78</v>
      </c>
      <c r="D140" s="60" t="s">
        <v>40</v>
      </c>
      <c r="E140" s="191"/>
      <c r="F140" s="191"/>
      <c r="G140" s="202"/>
      <c r="H140" s="202"/>
      <c r="I140" s="191"/>
    </row>
    <row r="141" spans="1:13" ht="15.75">
      <c r="A141" s="133" t="s">
        <v>193</v>
      </c>
      <c r="B141" s="193">
        <f>ASG!B141</f>
        <v>15</v>
      </c>
      <c r="C141" s="50">
        <v>0</v>
      </c>
      <c r="D141" s="52">
        <f>B141-C141</f>
        <v>15</v>
      </c>
      <c r="E141" s="191"/>
      <c r="F141" s="191"/>
      <c r="G141" s="202"/>
      <c r="H141" s="202"/>
      <c r="I141" s="191"/>
    </row>
    <row r="142" spans="1:13" ht="15.75">
      <c r="A142" s="203"/>
      <c r="B142" s="204"/>
      <c r="C142" s="205"/>
      <c r="D142" s="206"/>
      <c r="E142" s="202"/>
      <c r="F142" s="202"/>
      <c r="G142" s="202"/>
      <c r="H142" s="202"/>
      <c r="I142" s="202"/>
    </row>
    <row r="143" spans="1:13" ht="16.5" thickBot="1">
      <c r="A143" s="254" t="s">
        <v>412</v>
      </c>
      <c r="B143" s="254"/>
      <c r="C143" s="254"/>
      <c r="D143" s="254"/>
      <c r="E143" s="254"/>
      <c r="F143" s="254"/>
      <c r="G143" s="254"/>
      <c r="H143" s="254"/>
      <c r="I143" s="254"/>
      <c r="J143" s="254"/>
      <c r="K143" s="254"/>
      <c r="L143" s="254"/>
      <c r="M143" s="254"/>
    </row>
    <row r="144" spans="1:13" ht="16.5" thickBot="1">
      <c r="A144" s="255" t="s">
        <v>413</v>
      </c>
      <c r="B144" s="256"/>
      <c r="C144" s="256"/>
      <c r="D144" s="257"/>
      <c r="E144" s="202"/>
      <c r="F144" s="202"/>
      <c r="G144" s="202"/>
      <c r="H144" s="202"/>
      <c r="I144" s="202"/>
      <c r="J144" s="202"/>
      <c r="K144" s="202"/>
      <c r="L144" s="202"/>
      <c r="M144" s="202"/>
    </row>
    <row r="145" spans="1:13" ht="16.5" thickBot="1">
      <c r="A145" s="58" t="s">
        <v>37</v>
      </c>
      <c r="B145" s="59" t="s">
        <v>38</v>
      </c>
      <c r="C145" s="59" t="s">
        <v>78</v>
      </c>
      <c r="D145" s="60" t="s">
        <v>40</v>
      </c>
      <c r="E145" s="202"/>
      <c r="F145" s="202"/>
      <c r="G145" s="202"/>
      <c r="H145" s="202"/>
      <c r="I145" s="202"/>
      <c r="J145" s="202"/>
      <c r="K145" s="202"/>
      <c r="L145" s="202"/>
      <c r="M145" s="202"/>
    </row>
    <row r="146" spans="1:13" ht="15.75">
      <c r="A146" s="133" t="s">
        <v>35</v>
      </c>
      <c r="B146" s="182">
        <v>10</v>
      </c>
      <c r="C146" s="50">
        <v>0</v>
      </c>
      <c r="D146" s="52">
        <f>B146-C146</f>
        <v>10</v>
      </c>
      <c r="E146" s="202"/>
      <c r="F146" s="202"/>
      <c r="G146" s="202"/>
      <c r="H146" s="202"/>
      <c r="I146" s="202"/>
      <c r="J146" s="202"/>
      <c r="K146" s="202"/>
      <c r="L146" s="202"/>
      <c r="M146" s="202"/>
    </row>
    <row r="147" spans="1:13" ht="16.5" thickBot="1">
      <c r="A147" s="203"/>
      <c r="B147" s="204"/>
      <c r="C147" s="205"/>
      <c r="D147" s="206"/>
      <c r="E147" s="202"/>
      <c r="F147" s="202"/>
      <c r="G147" s="202"/>
      <c r="H147" s="202"/>
      <c r="I147" s="202"/>
    </row>
    <row r="148" spans="1:13" ht="16.5" thickBot="1">
      <c r="A148" s="267" t="s">
        <v>69</v>
      </c>
      <c r="B148" s="268"/>
      <c r="C148" s="268"/>
      <c r="D148" s="268"/>
      <c r="E148" s="268"/>
      <c r="F148" s="269"/>
      <c r="G148" s="207"/>
      <c r="H148" s="207"/>
      <c r="I148" s="69"/>
    </row>
    <row r="149" spans="1:13" ht="16.5" thickBot="1">
      <c r="A149" s="58" t="s">
        <v>37</v>
      </c>
      <c r="B149" s="59" t="s">
        <v>90</v>
      </c>
      <c r="C149" s="59" t="s">
        <v>91</v>
      </c>
      <c r="D149" s="59" t="s">
        <v>92</v>
      </c>
      <c r="E149" s="59" t="s">
        <v>93</v>
      </c>
      <c r="F149" s="59" t="s">
        <v>414</v>
      </c>
      <c r="G149" s="211" t="s">
        <v>415</v>
      </c>
      <c r="H149" s="60" t="s">
        <v>44</v>
      </c>
    </row>
    <row r="150" spans="1:13" ht="15.75">
      <c r="A150" s="133" t="s">
        <v>193</v>
      </c>
      <c r="B150" s="50">
        <f>D109</f>
        <v>251.82780000000002</v>
      </c>
      <c r="C150" s="50">
        <f>D123</f>
        <v>455.4</v>
      </c>
      <c r="D150" s="50">
        <f>D129</f>
        <v>150</v>
      </c>
      <c r="E150" s="50">
        <f>D135</f>
        <v>15</v>
      </c>
      <c r="F150" s="50">
        <f>D141</f>
        <v>15</v>
      </c>
      <c r="G150" s="212">
        <f>D146</f>
        <v>10</v>
      </c>
      <c r="H150" s="52">
        <f>SUM(B150:G150)</f>
        <v>897.2278</v>
      </c>
    </row>
    <row r="151" spans="1:13" ht="15.75">
      <c r="A151" s="41"/>
      <c r="B151" s="41"/>
      <c r="C151" s="41"/>
      <c r="D151" s="41"/>
      <c r="E151" s="41"/>
      <c r="F151" s="41"/>
      <c r="G151" s="202"/>
      <c r="H151" s="202"/>
      <c r="I151" s="41"/>
    </row>
    <row r="152" spans="1:13" ht="15.75">
      <c r="A152" s="254" t="s">
        <v>94</v>
      </c>
      <c r="B152" s="254"/>
      <c r="C152" s="254"/>
      <c r="D152" s="254"/>
      <c r="E152" s="254"/>
      <c r="F152" s="254"/>
      <c r="G152" s="254"/>
      <c r="H152" s="254"/>
      <c r="I152" s="254"/>
    </row>
    <row r="153" spans="1:13" ht="16.5" thickBot="1">
      <c r="A153" s="41"/>
      <c r="B153" s="41"/>
      <c r="C153" s="41"/>
      <c r="D153" s="41"/>
      <c r="E153" s="41"/>
      <c r="F153" s="41"/>
      <c r="G153" s="202"/>
      <c r="H153" s="202"/>
      <c r="I153" s="41"/>
    </row>
    <row r="154" spans="1:13" ht="16.5" thickBot="1">
      <c r="A154" s="255" t="s">
        <v>94</v>
      </c>
      <c r="B154" s="256"/>
      <c r="C154" s="256"/>
      <c r="D154" s="256"/>
      <c r="E154" s="257"/>
      <c r="F154" s="41"/>
      <c r="G154" s="202"/>
      <c r="H154" s="202"/>
      <c r="I154" s="41"/>
    </row>
    <row r="155" spans="1:13" ht="16.5" thickBot="1">
      <c r="A155" s="58" t="s">
        <v>37</v>
      </c>
      <c r="B155" s="59" t="s">
        <v>95</v>
      </c>
      <c r="C155" s="59" t="s">
        <v>96</v>
      </c>
      <c r="D155" s="59" t="s">
        <v>97</v>
      </c>
      <c r="E155" s="60" t="s">
        <v>44</v>
      </c>
      <c r="F155" s="41"/>
      <c r="G155" s="202"/>
      <c r="H155" s="202"/>
      <c r="I155" s="41"/>
    </row>
    <row r="156" spans="1:13" ht="15.75">
      <c r="A156" s="133" t="s">
        <v>193</v>
      </c>
      <c r="B156" s="50">
        <f>E67</f>
        <v>467.03116036429998</v>
      </c>
      <c r="C156" s="50">
        <f>D93</f>
        <v>1056.1236270140623</v>
      </c>
      <c r="D156" s="50">
        <f>H150</f>
        <v>897.2278</v>
      </c>
      <c r="E156" s="52">
        <f>SUM(B156:D156)</f>
        <v>2420.3825873783621</v>
      </c>
      <c r="F156" s="41"/>
      <c r="G156" s="202"/>
      <c r="H156" s="202"/>
      <c r="I156" s="41"/>
    </row>
    <row r="157" spans="1:13" ht="15.75">
      <c r="A157" s="41"/>
      <c r="B157" s="41"/>
      <c r="C157" s="41"/>
      <c r="D157" s="41"/>
      <c r="E157" s="41"/>
      <c r="F157" s="41"/>
      <c r="G157" s="202"/>
      <c r="H157" s="202"/>
      <c r="I157" s="41"/>
    </row>
    <row r="158" spans="1:13" ht="15.75">
      <c r="A158" s="254" t="s">
        <v>98</v>
      </c>
      <c r="B158" s="254"/>
      <c r="C158" s="254"/>
      <c r="D158" s="254"/>
      <c r="E158" s="254"/>
      <c r="F158" s="254"/>
      <c r="G158" s="254"/>
      <c r="H158" s="254"/>
      <c r="I158" s="254"/>
    </row>
    <row r="159" spans="1:13" ht="16.5" thickBot="1">
      <c r="A159" s="41"/>
      <c r="B159" s="41"/>
      <c r="C159" s="41"/>
      <c r="D159" s="41"/>
      <c r="E159" s="41"/>
      <c r="F159" s="41"/>
      <c r="G159" s="202"/>
      <c r="H159" s="202"/>
      <c r="I159" s="41"/>
    </row>
    <row r="160" spans="1:13" ht="37.9" customHeight="1" thickBot="1">
      <c r="A160" s="252" t="s">
        <v>99</v>
      </c>
      <c r="B160" s="253"/>
      <c r="C160" s="41"/>
      <c r="D160" s="41"/>
      <c r="E160" s="41"/>
      <c r="F160" s="41"/>
      <c r="G160" s="202"/>
      <c r="H160" s="202"/>
      <c r="I160" s="41"/>
    </row>
    <row r="161" spans="1:9" ht="16.5" thickBot="1">
      <c r="A161" s="43" t="s">
        <v>100</v>
      </c>
      <c r="B161" s="45" t="s">
        <v>39</v>
      </c>
      <c r="C161" s="41"/>
      <c r="D161" s="41"/>
      <c r="E161" s="41"/>
      <c r="F161" s="41"/>
      <c r="G161" s="202"/>
      <c r="H161" s="202"/>
      <c r="I161" s="41"/>
    </row>
    <row r="162" spans="1:9" ht="31.5">
      <c r="A162" s="70" t="s">
        <v>101</v>
      </c>
      <c r="B162" s="71">
        <v>0.83850000000000002</v>
      </c>
      <c r="C162" s="41"/>
      <c r="D162" s="41"/>
      <c r="E162" s="41"/>
      <c r="F162" s="41"/>
      <c r="G162" s="202"/>
      <c r="H162" s="202"/>
      <c r="I162" s="41"/>
    </row>
    <row r="163" spans="1:9" ht="31.5">
      <c r="A163" s="72" t="s">
        <v>102</v>
      </c>
      <c r="B163" s="194">
        <f>ASG!B164</f>
        <v>4.1666666666666666E-3</v>
      </c>
      <c r="C163" s="173" t="str">
        <f>ASG!C164</f>
        <v>1(AVI integral)/12 meses*5% (levantamento STF)</v>
      </c>
      <c r="D163" s="41"/>
      <c r="E163" s="41"/>
      <c r="F163" s="41"/>
      <c r="G163" s="202"/>
      <c r="H163" s="202"/>
      <c r="I163" s="41"/>
    </row>
    <row r="164" spans="1:9" ht="31.5">
      <c r="A164" s="72" t="s">
        <v>103</v>
      </c>
      <c r="B164" s="194">
        <f>ASG!B165</f>
        <v>1.9444444444444445E-2</v>
      </c>
      <c r="C164" s="173" t="str">
        <f>ASG!C165</f>
        <v>7 dias em 30 rateado em 12 meses * estatística cheia</v>
      </c>
      <c r="D164" s="41"/>
      <c r="E164" s="41"/>
      <c r="F164" s="41"/>
      <c r="G164" s="202"/>
      <c r="H164" s="202"/>
      <c r="I164" s="41"/>
    </row>
    <row r="165" spans="1:9" ht="31.5">
      <c r="A165" s="72" t="s">
        <v>104</v>
      </c>
      <c r="B165" s="73">
        <v>1.7399999999999999E-2</v>
      </c>
      <c r="C165" s="41"/>
      <c r="D165" s="41"/>
      <c r="E165" s="41"/>
      <c r="F165" s="41"/>
      <c r="G165" s="202"/>
      <c r="H165" s="202"/>
      <c r="I165" s="41"/>
    </row>
    <row r="166" spans="1:9" ht="32.25" thickBot="1">
      <c r="A166" s="74" t="s">
        <v>105</v>
      </c>
      <c r="B166" s="75">
        <v>0.14410000000000001</v>
      </c>
      <c r="C166" s="41"/>
      <c r="D166" s="41"/>
      <c r="E166" s="41"/>
      <c r="F166" s="41"/>
      <c r="G166" s="202"/>
      <c r="H166" s="202"/>
      <c r="I166" s="41"/>
    </row>
    <row r="167" spans="1:9" ht="16.5" thickBot="1">
      <c r="A167" s="43" t="s">
        <v>65</v>
      </c>
      <c r="B167" s="76">
        <f>SUM(B163:B166)</f>
        <v>0.18511111111111112</v>
      </c>
      <c r="C167" s="41"/>
      <c r="D167" s="41"/>
      <c r="E167" s="41"/>
      <c r="F167" s="41"/>
      <c r="G167" s="202"/>
      <c r="H167" s="202"/>
      <c r="I167" s="41"/>
    </row>
    <row r="168" spans="1:9" ht="15.75">
      <c r="A168" s="41"/>
      <c r="B168" s="41"/>
      <c r="C168" s="41"/>
      <c r="D168" s="41"/>
      <c r="E168" s="41"/>
      <c r="F168" s="41"/>
      <c r="G168" s="202"/>
      <c r="H168" s="202"/>
      <c r="I168" s="41"/>
    </row>
    <row r="169" spans="1:9" ht="15.75">
      <c r="A169" s="254" t="s">
        <v>106</v>
      </c>
      <c r="B169" s="254"/>
      <c r="C169" s="254"/>
      <c r="D169" s="254"/>
      <c r="E169" s="254"/>
      <c r="F169" s="254"/>
      <c r="G169" s="254"/>
      <c r="H169" s="254"/>
      <c r="I169" s="254"/>
    </row>
    <row r="170" spans="1:9" ht="16.5" thickBot="1">
      <c r="A170" s="41"/>
      <c r="B170" s="41"/>
      <c r="C170" s="41"/>
      <c r="D170" s="41"/>
      <c r="E170" s="41"/>
      <c r="F170" s="41"/>
      <c r="G170" s="202"/>
      <c r="H170" s="202"/>
      <c r="I170" s="41"/>
    </row>
    <row r="171" spans="1:9" ht="16.5" thickBot="1">
      <c r="A171" s="255" t="s">
        <v>107</v>
      </c>
      <c r="B171" s="256"/>
      <c r="C171" s="256"/>
      <c r="D171" s="257"/>
      <c r="E171" s="301" t="s">
        <v>108</v>
      </c>
      <c r="F171" s="302"/>
      <c r="G171" s="202"/>
      <c r="H171" s="202"/>
      <c r="I171" s="41"/>
    </row>
    <row r="172" spans="1:9" ht="16.5" thickBot="1">
      <c r="A172" s="58" t="s">
        <v>37</v>
      </c>
      <c r="B172" s="59" t="s">
        <v>38</v>
      </c>
      <c r="C172" s="59" t="s">
        <v>109</v>
      </c>
      <c r="D172" s="60" t="s">
        <v>40</v>
      </c>
      <c r="E172" s="41"/>
      <c r="F172" s="41"/>
      <c r="G172" s="202"/>
      <c r="H172" s="202"/>
      <c r="I172" s="41"/>
    </row>
    <row r="173" spans="1:9" ht="15.75">
      <c r="A173" s="133" t="s">
        <v>193</v>
      </c>
      <c r="B173" s="50">
        <f>I47+(E156-D85)</f>
        <v>3996.7210531934434</v>
      </c>
      <c r="C173" s="56">
        <v>12</v>
      </c>
      <c r="D173" s="52">
        <f>B173/C173</f>
        <v>333.06008776612026</v>
      </c>
      <c r="E173" s="41"/>
      <c r="F173" s="41"/>
      <c r="G173" s="202"/>
      <c r="H173" s="202"/>
      <c r="I173" s="41"/>
    </row>
    <row r="174" spans="1:9" ht="16.5" thickBot="1">
      <c r="A174" s="41"/>
      <c r="B174" s="41"/>
      <c r="C174" s="41"/>
      <c r="D174" s="41"/>
      <c r="E174" s="41"/>
      <c r="F174" s="41"/>
      <c r="G174" s="202"/>
      <c r="H174" s="202"/>
      <c r="I174" s="41"/>
    </row>
    <row r="175" spans="1:9" ht="16.5" thickBot="1">
      <c r="A175" s="258" t="s">
        <v>110</v>
      </c>
      <c r="B175" s="259"/>
      <c r="C175" s="259"/>
      <c r="D175" s="260"/>
      <c r="E175" s="77"/>
      <c r="F175" s="41"/>
      <c r="G175" s="202"/>
      <c r="H175" s="202"/>
      <c r="I175" s="41"/>
    </row>
    <row r="176" spans="1:9" ht="32.25" thickBot="1">
      <c r="A176" s="58" t="s">
        <v>37</v>
      </c>
      <c r="B176" s="59" t="s">
        <v>38</v>
      </c>
      <c r="C176" s="78" t="s">
        <v>111</v>
      </c>
      <c r="D176" s="60" t="s">
        <v>40</v>
      </c>
      <c r="E176" s="41"/>
      <c r="F176" s="41"/>
      <c r="G176" s="202"/>
      <c r="H176" s="202"/>
      <c r="I176" s="41"/>
    </row>
    <row r="177" spans="1:10" ht="15.75">
      <c r="A177" s="133" t="s">
        <v>193</v>
      </c>
      <c r="B177" s="50">
        <f>D89</f>
        <v>229.59209282914398</v>
      </c>
      <c r="C177" s="54">
        <v>0.4</v>
      </c>
      <c r="D177" s="52">
        <f>B177*C177</f>
        <v>91.836837131657603</v>
      </c>
      <c r="E177" s="41"/>
      <c r="F177" s="41"/>
      <c r="G177" s="202"/>
      <c r="H177" s="202"/>
      <c r="I177" s="41"/>
    </row>
    <row r="178" spans="1:10" ht="16.5" thickBot="1">
      <c r="A178" s="41"/>
      <c r="B178" s="41"/>
      <c r="C178" s="41"/>
      <c r="D178" s="41"/>
      <c r="E178" s="41"/>
      <c r="F178" s="41"/>
      <c r="G178" s="202"/>
      <c r="H178" s="202"/>
      <c r="I178" s="41"/>
    </row>
    <row r="179" spans="1:10" ht="16.5" thickBot="1">
      <c r="A179" s="255" t="s">
        <v>112</v>
      </c>
      <c r="B179" s="256"/>
      <c r="C179" s="256"/>
      <c r="D179" s="257"/>
      <c r="E179" s="41"/>
      <c r="F179" s="41"/>
      <c r="G179" s="202"/>
      <c r="H179" s="202"/>
      <c r="I179" s="41"/>
    </row>
    <row r="180" spans="1:10" ht="16.5" thickBot="1">
      <c r="A180" s="58" t="s">
        <v>37</v>
      </c>
      <c r="B180" s="59" t="s">
        <v>38</v>
      </c>
      <c r="C180" s="59" t="s">
        <v>39</v>
      </c>
      <c r="D180" s="60" t="s">
        <v>40</v>
      </c>
      <c r="E180" s="41"/>
      <c r="F180" s="41"/>
      <c r="G180" s="202"/>
      <c r="H180" s="202"/>
      <c r="I180" s="41"/>
    </row>
    <row r="181" spans="1:10" ht="15.75">
      <c r="A181" s="133" t="s">
        <v>193</v>
      </c>
      <c r="B181" s="50">
        <f>D173+D177</f>
        <v>424.89692489777786</v>
      </c>
      <c r="C181" s="196">
        <f>$B$163</f>
        <v>4.1666666666666666E-3</v>
      </c>
      <c r="D181" s="52">
        <f>B181*C181</f>
        <v>1.7704038537407412</v>
      </c>
      <c r="E181" s="41"/>
      <c r="F181" s="41"/>
      <c r="G181" s="202"/>
      <c r="H181" s="202"/>
      <c r="I181" s="41"/>
    </row>
    <row r="182" spans="1:10" ht="15.75">
      <c r="A182" s="41"/>
      <c r="B182" s="41"/>
      <c r="C182" s="41"/>
      <c r="D182" s="41"/>
      <c r="E182" s="41"/>
      <c r="F182" s="41"/>
      <c r="G182" s="202"/>
      <c r="H182" s="202"/>
      <c r="I182" s="41"/>
    </row>
    <row r="183" spans="1:10" ht="15.75">
      <c r="A183" s="254" t="s">
        <v>113</v>
      </c>
      <c r="B183" s="254"/>
      <c r="C183" s="254"/>
      <c r="D183" s="254"/>
      <c r="E183" s="254"/>
      <c r="F183" s="254"/>
      <c r="G183" s="254"/>
      <c r="H183" s="254"/>
      <c r="I183" s="254"/>
    </row>
    <row r="184" spans="1:10" ht="16.5" customHeight="1" thickBot="1">
      <c r="A184" s="41"/>
      <c r="B184" s="41"/>
      <c r="C184" s="41"/>
      <c r="D184" s="41"/>
      <c r="E184" s="41"/>
      <c r="F184" s="303" t="s">
        <v>407</v>
      </c>
      <c r="G184" s="303"/>
      <c r="H184" s="303"/>
      <c r="I184" s="303"/>
      <c r="J184" s="303"/>
    </row>
    <row r="185" spans="1:10" ht="16.5" thickBot="1">
      <c r="A185" s="255" t="s">
        <v>114</v>
      </c>
      <c r="B185" s="256"/>
      <c r="C185" s="256"/>
      <c r="D185" s="257"/>
      <c r="E185" s="41"/>
      <c r="F185" s="303"/>
      <c r="G185" s="303"/>
      <c r="H185" s="303"/>
      <c r="I185" s="303"/>
      <c r="J185" s="303"/>
    </row>
    <row r="186" spans="1:10" ht="16.5" customHeight="1" thickBot="1">
      <c r="A186" s="58" t="s">
        <v>37</v>
      </c>
      <c r="B186" s="59" t="s">
        <v>38</v>
      </c>
      <c r="C186" s="59" t="s">
        <v>109</v>
      </c>
      <c r="D186" s="60" t="s">
        <v>40</v>
      </c>
      <c r="E186" s="41"/>
      <c r="F186" s="303"/>
      <c r="G186" s="303"/>
      <c r="H186" s="303"/>
      <c r="I186" s="303"/>
      <c r="J186" s="303"/>
    </row>
    <row r="187" spans="1:10" ht="15.75">
      <c r="A187" s="133" t="s">
        <v>193</v>
      </c>
      <c r="B187" s="50">
        <f>I47+E156</f>
        <v>4823.2525873783616</v>
      </c>
      <c r="C187" s="56">
        <v>12</v>
      </c>
      <c r="D187" s="52">
        <f>B187/C187</f>
        <v>401.93771561486346</v>
      </c>
      <c r="E187" s="41"/>
      <c r="F187" s="303"/>
      <c r="G187" s="303"/>
      <c r="H187" s="303"/>
      <c r="I187" s="303"/>
      <c r="J187" s="303"/>
    </row>
    <row r="188" spans="1:10" ht="16.5" thickBot="1">
      <c r="A188" s="41"/>
      <c r="B188" s="41"/>
      <c r="C188" s="41"/>
      <c r="D188" s="41"/>
      <c r="E188" s="41"/>
      <c r="F188" s="303"/>
      <c r="G188" s="303"/>
      <c r="H188" s="303"/>
      <c r="I188" s="303"/>
      <c r="J188" s="303"/>
    </row>
    <row r="189" spans="1:10" ht="16.5" thickBot="1">
      <c r="A189" s="258" t="s">
        <v>115</v>
      </c>
      <c r="B189" s="259"/>
      <c r="C189" s="259"/>
      <c r="D189" s="260"/>
      <c r="E189" s="41"/>
      <c r="F189" s="303"/>
      <c r="G189" s="303"/>
      <c r="H189" s="303"/>
      <c r="I189" s="303"/>
      <c r="J189" s="303"/>
    </row>
    <row r="190" spans="1:10" ht="32.25" thickBot="1">
      <c r="A190" s="58" t="s">
        <v>37</v>
      </c>
      <c r="B190" s="59" t="s">
        <v>38</v>
      </c>
      <c r="C190" s="78" t="s">
        <v>111</v>
      </c>
      <c r="D190" s="60" t="s">
        <v>40</v>
      </c>
      <c r="E190" s="41"/>
      <c r="F190" s="303"/>
      <c r="G190" s="303"/>
      <c r="H190" s="303"/>
      <c r="I190" s="303"/>
      <c r="J190" s="303"/>
    </row>
    <row r="191" spans="1:10" ht="15.75">
      <c r="A191" s="133" t="s">
        <v>193</v>
      </c>
      <c r="B191" s="50">
        <f>D89</f>
        <v>229.59209282914398</v>
      </c>
      <c r="C191" s="51">
        <v>0.4</v>
      </c>
      <c r="D191" s="52">
        <f>B191*C191</f>
        <v>91.836837131657603</v>
      </c>
      <c r="E191" s="41"/>
      <c r="F191" s="303"/>
      <c r="G191" s="303"/>
      <c r="H191" s="303"/>
      <c r="I191" s="303"/>
      <c r="J191" s="303"/>
    </row>
    <row r="192" spans="1:10" ht="16.5" thickBot="1">
      <c r="A192" s="41"/>
      <c r="B192" s="41"/>
      <c r="C192" s="41"/>
      <c r="D192" s="41"/>
      <c r="E192" s="41"/>
      <c r="F192" s="303"/>
      <c r="G192" s="303"/>
      <c r="H192" s="303"/>
      <c r="I192" s="303"/>
      <c r="J192" s="303"/>
    </row>
    <row r="193" spans="1:10" ht="16.5" thickBot="1">
      <c r="A193" s="255" t="s">
        <v>116</v>
      </c>
      <c r="B193" s="256"/>
      <c r="C193" s="256"/>
      <c r="D193" s="257"/>
      <c r="E193" s="41"/>
      <c r="F193" s="303"/>
      <c r="G193" s="303"/>
      <c r="H193" s="303"/>
      <c r="I193" s="303"/>
      <c r="J193" s="303"/>
    </row>
    <row r="194" spans="1:10" ht="16.5" thickBot="1">
      <c r="A194" s="58" t="s">
        <v>37</v>
      </c>
      <c r="B194" s="59" t="s">
        <v>38</v>
      </c>
      <c r="C194" s="59" t="s">
        <v>39</v>
      </c>
      <c r="D194" s="60" t="s">
        <v>40</v>
      </c>
      <c r="E194" s="41"/>
      <c r="F194" s="303"/>
      <c r="G194" s="303"/>
      <c r="H194" s="303"/>
      <c r="I194" s="303"/>
      <c r="J194" s="303"/>
    </row>
    <row r="195" spans="1:10" ht="15.75">
      <c r="A195" s="133" t="s">
        <v>193</v>
      </c>
      <c r="B195" s="50">
        <f>D187+D191</f>
        <v>493.77455274652107</v>
      </c>
      <c r="C195" s="195">
        <f>$B$164</f>
        <v>1.9444444444444445E-2</v>
      </c>
      <c r="D195" s="52">
        <f>B195*C195</f>
        <v>9.6011718589601323</v>
      </c>
      <c r="E195" s="41"/>
      <c r="F195" s="303"/>
      <c r="G195" s="303"/>
      <c r="H195" s="303"/>
      <c r="I195" s="303"/>
      <c r="J195" s="303"/>
    </row>
    <row r="196" spans="1:10" ht="15.75">
      <c r="A196" s="41"/>
      <c r="B196" s="41"/>
      <c r="C196" s="41"/>
      <c r="D196" s="41"/>
      <c r="E196" s="41"/>
      <c r="F196" s="303"/>
      <c r="G196" s="303"/>
      <c r="H196" s="303"/>
      <c r="I196" s="303"/>
      <c r="J196" s="303"/>
    </row>
    <row r="197" spans="1:10" ht="15.75">
      <c r="A197" s="254" t="s">
        <v>117</v>
      </c>
      <c r="B197" s="254"/>
      <c r="C197" s="254"/>
      <c r="D197" s="254"/>
      <c r="E197" s="254"/>
      <c r="F197" s="254"/>
      <c r="G197" s="254"/>
      <c r="H197" s="254"/>
      <c r="I197" s="254"/>
    </row>
    <row r="198" spans="1:10" ht="16.5" thickBot="1">
      <c r="A198" s="41"/>
      <c r="B198" s="41"/>
      <c r="C198" s="41"/>
      <c r="D198" s="41"/>
      <c r="E198" s="41"/>
      <c r="F198" s="41"/>
      <c r="G198" s="202"/>
      <c r="H198" s="202"/>
      <c r="I198" s="41"/>
    </row>
    <row r="199" spans="1:10" ht="16.5" thickBot="1">
      <c r="A199" s="255" t="s">
        <v>118</v>
      </c>
      <c r="B199" s="256"/>
      <c r="C199" s="256"/>
      <c r="D199" s="256"/>
      <c r="E199" s="257"/>
      <c r="F199" s="41"/>
      <c r="G199" s="202"/>
      <c r="H199" s="202"/>
      <c r="I199" s="41"/>
    </row>
    <row r="200" spans="1:10" ht="63.75" thickBot="1">
      <c r="A200" s="58" t="s">
        <v>37</v>
      </c>
      <c r="B200" s="62" t="s">
        <v>119</v>
      </c>
      <c r="C200" s="62" t="s">
        <v>120</v>
      </c>
      <c r="D200" s="62" t="s">
        <v>121</v>
      </c>
      <c r="E200" s="60" t="s">
        <v>40</v>
      </c>
      <c r="F200" s="41"/>
      <c r="G200" s="202"/>
      <c r="H200" s="202"/>
      <c r="I200" s="41"/>
    </row>
    <row r="201" spans="1:10" ht="15.75">
      <c r="A201" s="133" t="s">
        <v>193</v>
      </c>
      <c r="B201" s="79">
        <f>-D63</f>
        <v>-200.15907099999998</v>
      </c>
      <c r="C201" s="79">
        <f>-E59</f>
        <v>-66.713018364299984</v>
      </c>
      <c r="D201" s="79">
        <f>-D55</f>
        <v>-200.15907099999998</v>
      </c>
      <c r="E201" s="80">
        <f>SUM(B201:D201)</f>
        <v>-467.03116036429998</v>
      </c>
      <c r="F201" s="41"/>
      <c r="G201" s="202"/>
      <c r="H201" s="202"/>
      <c r="I201" s="41"/>
    </row>
    <row r="202" spans="1:10" ht="16.5" thickBot="1">
      <c r="A202" s="41"/>
      <c r="B202" s="41"/>
      <c r="C202" s="41"/>
      <c r="D202" s="41"/>
      <c r="E202" s="41"/>
      <c r="F202" s="41"/>
      <c r="G202" s="202"/>
      <c r="H202" s="202"/>
      <c r="I202" s="41"/>
    </row>
    <row r="203" spans="1:10" ht="16.5" thickBot="1">
      <c r="A203" s="255" t="s">
        <v>122</v>
      </c>
      <c r="B203" s="256"/>
      <c r="C203" s="256"/>
      <c r="D203" s="257"/>
      <c r="E203" s="41"/>
      <c r="F203" s="41"/>
      <c r="G203" s="202"/>
      <c r="H203" s="202"/>
      <c r="I203" s="41"/>
    </row>
    <row r="204" spans="1:10" ht="16.5" thickBot="1">
      <c r="A204" s="58" t="s">
        <v>37</v>
      </c>
      <c r="B204" s="59" t="s">
        <v>123</v>
      </c>
      <c r="C204" s="59" t="s">
        <v>39</v>
      </c>
      <c r="D204" s="60" t="s">
        <v>40</v>
      </c>
      <c r="E204" s="41"/>
      <c r="F204" s="41"/>
      <c r="G204" s="202"/>
      <c r="H204" s="202"/>
      <c r="I204" s="41"/>
    </row>
    <row r="205" spans="1:10" ht="15.75">
      <c r="A205" s="133" t="s">
        <v>193</v>
      </c>
      <c r="B205" s="79">
        <f>E201</f>
        <v>-467.03116036429998</v>
      </c>
      <c r="C205" s="61">
        <f>B165</f>
        <v>1.7399999999999999E-2</v>
      </c>
      <c r="D205" s="80">
        <f>B205*C205</f>
        <v>-8.1263421903388195</v>
      </c>
      <c r="E205" s="41"/>
      <c r="F205" s="41"/>
      <c r="G205" s="202"/>
      <c r="H205" s="202"/>
      <c r="I205" s="41"/>
    </row>
    <row r="206" spans="1:10" ht="15.75">
      <c r="A206" s="41"/>
      <c r="B206" s="41"/>
      <c r="C206" s="41"/>
      <c r="D206" s="41"/>
      <c r="E206" s="41"/>
      <c r="F206" s="41"/>
      <c r="G206" s="202"/>
      <c r="H206" s="202"/>
      <c r="I206" s="41"/>
    </row>
    <row r="207" spans="1:10" ht="15.75">
      <c r="A207" s="254" t="s">
        <v>98</v>
      </c>
      <c r="B207" s="254"/>
      <c r="C207" s="254"/>
      <c r="D207" s="254"/>
      <c r="E207" s="254"/>
      <c r="F207" s="254"/>
      <c r="G207" s="254"/>
      <c r="H207" s="254"/>
      <c r="I207" s="254"/>
    </row>
    <row r="208" spans="1:10" ht="16.5" thickBot="1">
      <c r="A208" s="41"/>
      <c r="B208" s="41"/>
      <c r="C208" s="41"/>
      <c r="D208" s="41"/>
      <c r="E208" s="41"/>
      <c r="F208" s="41"/>
      <c r="G208" s="202"/>
      <c r="H208" s="202"/>
      <c r="I208" s="41"/>
    </row>
    <row r="209" spans="1:9" ht="16.5" thickBot="1">
      <c r="A209" s="255" t="s">
        <v>98</v>
      </c>
      <c r="B209" s="256"/>
      <c r="C209" s="256"/>
      <c r="D209" s="256"/>
      <c r="E209" s="257"/>
      <c r="F209" s="41"/>
      <c r="G209" s="202"/>
      <c r="H209" s="202"/>
      <c r="I209" s="41"/>
    </row>
    <row r="210" spans="1:9" ht="16.5" thickBot="1">
      <c r="A210" s="58" t="s">
        <v>37</v>
      </c>
      <c r="B210" s="59" t="s">
        <v>124</v>
      </c>
      <c r="C210" s="59" t="s">
        <v>125</v>
      </c>
      <c r="D210" s="59" t="s">
        <v>126</v>
      </c>
      <c r="E210" s="60" t="s">
        <v>44</v>
      </c>
      <c r="F210" s="41"/>
      <c r="G210" s="202"/>
      <c r="H210" s="202"/>
      <c r="I210" s="41"/>
    </row>
    <row r="211" spans="1:9" ht="15.75">
      <c r="A211" s="133" t="s">
        <v>193</v>
      </c>
      <c r="B211" s="50">
        <f>D181</f>
        <v>1.7704038537407412</v>
      </c>
      <c r="C211" s="50">
        <f>D195</f>
        <v>9.6011718589601323</v>
      </c>
      <c r="D211" s="79">
        <f>D205</f>
        <v>-8.1263421903388195</v>
      </c>
      <c r="E211" s="52">
        <f>SUM(B211:D211)</f>
        <v>3.2452335223620548</v>
      </c>
      <c r="F211" s="41"/>
      <c r="G211" s="202"/>
      <c r="H211" s="202"/>
      <c r="I211" s="41"/>
    </row>
    <row r="212" spans="1:9" ht="15.75">
      <c r="A212" s="41"/>
      <c r="B212" s="41"/>
      <c r="C212" s="41"/>
      <c r="D212" s="41"/>
      <c r="E212" s="41"/>
      <c r="F212" s="41"/>
      <c r="G212" s="202"/>
      <c r="H212" s="202"/>
      <c r="I212" s="41"/>
    </row>
    <row r="213" spans="1:9" ht="15.75">
      <c r="A213" s="254" t="s">
        <v>127</v>
      </c>
      <c r="B213" s="254"/>
      <c r="C213" s="254"/>
      <c r="D213" s="254"/>
      <c r="E213" s="254"/>
      <c r="F213" s="254"/>
      <c r="G213" s="254"/>
      <c r="H213" s="254"/>
      <c r="I213" s="254"/>
    </row>
    <row r="214" spans="1:9" ht="16.5" thickBot="1">
      <c r="A214" s="41"/>
      <c r="B214" s="41"/>
      <c r="C214" s="41"/>
      <c r="D214" s="41"/>
      <c r="E214" s="41"/>
      <c r="F214" s="41"/>
      <c r="G214" s="202"/>
      <c r="H214" s="202"/>
      <c r="I214" s="41"/>
    </row>
    <row r="215" spans="1:9" ht="16.5" thickBot="1">
      <c r="A215" s="258" t="s">
        <v>194</v>
      </c>
      <c r="B215" s="259"/>
      <c r="C215" s="259"/>
      <c r="D215" s="259"/>
      <c r="E215" s="260"/>
    </row>
    <row r="216" spans="1:9" ht="16.149999999999999" customHeight="1" thickBot="1">
      <c r="A216" s="258" t="s">
        <v>129</v>
      </c>
      <c r="B216" s="259"/>
      <c r="C216" s="259"/>
      <c r="D216" s="259"/>
      <c r="E216" s="260"/>
    </row>
    <row r="217" spans="1:9" ht="16.5" thickBot="1">
      <c r="A217" s="299" t="s">
        <v>37</v>
      </c>
      <c r="B217" s="299" t="s">
        <v>130</v>
      </c>
      <c r="C217" s="299" t="s">
        <v>131</v>
      </c>
      <c r="D217" s="258" t="s">
        <v>132</v>
      </c>
      <c r="E217" s="260"/>
    </row>
    <row r="218" spans="1:9" ht="32.25" thickBot="1">
      <c r="A218" s="300"/>
      <c r="B218" s="300"/>
      <c r="C218" s="300"/>
      <c r="D218" s="81" t="s">
        <v>133</v>
      </c>
      <c r="E218" s="81" t="s">
        <v>134</v>
      </c>
    </row>
    <row r="219" spans="1:9" ht="16.5" thickBot="1">
      <c r="A219" s="82" t="s">
        <v>135</v>
      </c>
      <c r="B219" s="83">
        <v>1</v>
      </c>
      <c r="C219" s="84">
        <v>30</v>
      </c>
      <c r="D219" s="86">
        <f>(252/365)</f>
        <v>0.69041095890410964</v>
      </c>
      <c r="E219" s="85">
        <f>(B219*C219)*D219</f>
        <v>20.712328767123289</v>
      </c>
    </row>
    <row r="220" spans="1:9" ht="16.5" thickBot="1">
      <c r="A220" s="72" t="s">
        <v>136</v>
      </c>
      <c r="B220" s="87">
        <v>1</v>
      </c>
      <c r="C220" s="88">
        <v>1</v>
      </c>
      <c r="D220" s="89">
        <v>1</v>
      </c>
      <c r="E220" s="85">
        <f t="shared" ref="E220:E230" si="0">(B220*C220)*D220</f>
        <v>1</v>
      </c>
    </row>
    <row r="221" spans="1:9" ht="16.5" thickBot="1">
      <c r="A221" s="72" t="s">
        <v>137</v>
      </c>
      <c r="B221" s="87">
        <v>9.2200000000000004E-2</v>
      </c>
      <c r="C221" s="88">
        <v>15</v>
      </c>
      <c r="D221" s="89">
        <f>(252/365)</f>
        <v>0.69041095890410964</v>
      </c>
      <c r="E221" s="85">
        <f t="shared" si="0"/>
        <v>0.95483835616438362</v>
      </c>
    </row>
    <row r="222" spans="1:9" ht="16.5" thickBot="1">
      <c r="A222" s="72" t="s">
        <v>138</v>
      </c>
      <c r="B222" s="87">
        <v>1</v>
      </c>
      <c r="C222" s="88">
        <v>5</v>
      </c>
      <c r="D222" s="89">
        <f>(252/365)</f>
        <v>0.69041095890410964</v>
      </c>
      <c r="E222" s="85">
        <f t="shared" si="0"/>
        <v>3.4520547945205484</v>
      </c>
    </row>
    <row r="223" spans="1:9" ht="16.5" thickBot="1">
      <c r="A223" s="72" t="s">
        <v>139</v>
      </c>
      <c r="B223" s="87">
        <v>0.1522</v>
      </c>
      <c r="C223" s="88">
        <v>2</v>
      </c>
      <c r="D223" s="89">
        <v>1</v>
      </c>
      <c r="E223" s="85">
        <f t="shared" si="0"/>
        <v>0.3044</v>
      </c>
    </row>
    <row r="224" spans="1:9" ht="16.5" thickBot="1">
      <c r="A224" s="72" t="s">
        <v>140</v>
      </c>
      <c r="B224" s="87">
        <v>3.09E-2</v>
      </c>
      <c r="C224" s="88">
        <v>2</v>
      </c>
      <c r="D224" s="89">
        <f>(252/365)</f>
        <v>0.69041095890410964</v>
      </c>
      <c r="E224" s="85">
        <f t="shared" si="0"/>
        <v>4.2667397260273979E-2</v>
      </c>
    </row>
    <row r="225" spans="1:9" ht="16.5" thickBot="1">
      <c r="A225" s="72" t="s">
        <v>141</v>
      </c>
      <c r="B225" s="87">
        <v>1.23E-2</v>
      </c>
      <c r="C225" s="88">
        <v>3</v>
      </c>
      <c r="D225" s="89">
        <v>1</v>
      </c>
      <c r="E225" s="85">
        <f t="shared" si="0"/>
        <v>3.6900000000000002E-2</v>
      </c>
    </row>
    <row r="226" spans="1:9" ht="16.5" thickBot="1">
      <c r="A226" s="72" t="s">
        <v>142</v>
      </c>
      <c r="B226" s="87">
        <v>0.02</v>
      </c>
      <c r="C226" s="88">
        <v>1</v>
      </c>
      <c r="D226" s="89">
        <v>1</v>
      </c>
      <c r="E226" s="85">
        <f t="shared" si="0"/>
        <v>0.02</v>
      </c>
    </row>
    <row r="227" spans="1:9" ht="16.5" thickBot="1">
      <c r="A227" s="72" t="s">
        <v>143</v>
      </c>
      <c r="B227" s="87">
        <v>4.0000000000000001E-3</v>
      </c>
      <c r="C227" s="88">
        <v>1</v>
      </c>
      <c r="D227" s="89">
        <v>1</v>
      </c>
      <c r="E227" s="85">
        <f t="shared" si="0"/>
        <v>4.0000000000000001E-3</v>
      </c>
    </row>
    <row r="228" spans="1:9" ht="16.5" thickBot="1">
      <c r="A228" s="72" t="s">
        <v>144</v>
      </c>
      <c r="B228" s="87">
        <v>3.2099999999999997E-2</v>
      </c>
      <c r="C228" s="88">
        <v>20</v>
      </c>
      <c r="D228" s="89">
        <f>(252/365)</f>
        <v>0.69041095890410964</v>
      </c>
      <c r="E228" s="85">
        <f t="shared" si="0"/>
        <v>0.44324383561643832</v>
      </c>
    </row>
    <row r="229" spans="1:9" ht="16.5" thickBot="1">
      <c r="A229" s="72" t="s">
        <v>145</v>
      </c>
      <c r="B229" s="87">
        <v>2.8E-3</v>
      </c>
      <c r="C229" s="88">
        <v>180</v>
      </c>
      <c r="D229" s="89">
        <f>(252/365)</f>
        <v>0.69041095890410964</v>
      </c>
      <c r="E229" s="85">
        <f t="shared" si="0"/>
        <v>0.34796712328767126</v>
      </c>
    </row>
    <row r="230" spans="1:9" ht="16.5" thickBot="1">
      <c r="A230" s="90" t="s">
        <v>146</v>
      </c>
      <c r="B230" s="91">
        <v>2.0000000000000001E-4</v>
      </c>
      <c r="C230" s="92">
        <v>6</v>
      </c>
      <c r="D230" s="93">
        <v>1</v>
      </c>
      <c r="E230" s="134">
        <f t="shared" si="0"/>
        <v>1.2000000000000001E-3</v>
      </c>
    </row>
    <row r="231" spans="1:9" ht="16.5" thickBot="1">
      <c r="A231" s="296" t="s">
        <v>147</v>
      </c>
      <c r="B231" s="297"/>
      <c r="C231" s="297"/>
      <c r="D231" s="298"/>
      <c r="E231" s="135">
        <f>SUM(E219:E230)</f>
        <v>27.319600273972608</v>
      </c>
      <c r="F231" s="41"/>
      <c r="G231" s="202"/>
      <c r="H231" s="202"/>
      <c r="I231" s="41"/>
    </row>
    <row r="232" spans="1:9" ht="15.75">
      <c r="A232" s="41"/>
      <c r="B232" s="41"/>
      <c r="C232" s="41"/>
      <c r="D232" s="41"/>
      <c r="E232" s="41"/>
      <c r="F232" s="41"/>
      <c r="G232" s="202"/>
      <c r="H232" s="202"/>
      <c r="I232" s="41"/>
    </row>
    <row r="233" spans="1:9" ht="15.75">
      <c r="A233" s="254" t="s">
        <v>148</v>
      </c>
      <c r="B233" s="254"/>
      <c r="C233" s="254"/>
      <c r="D233" s="254"/>
      <c r="E233" s="254"/>
      <c r="F233" s="254"/>
      <c r="G233" s="254"/>
      <c r="H233" s="254"/>
      <c r="I233" s="254"/>
    </row>
    <row r="234" spans="1:9" ht="16.5" thickBot="1">
      <c r="A234" s="41"/>
      <c r="B234" s="41"/>
      <c r="C234" s="41"/>
      <c r="D234" s="41"/>
      <c r="E234" s="41"/>
      <c r="F234" s="41"/>
      <c r="G234" s="202"/>
      <c r="H234" s="202"/>
      <c r="I234" s="41"/>
    </row>
    <row r="235" spans="1:9" ht="16.5" thickBot="1">
      <c r="A235" s="255" t="s">
        <v>149</v>
      </c>
      <c r="B235" s="256"/>
      <c r="C235" s="256"/>
      <c r="D235" s="257"/>
      <c r="E235" s="41"/>
      <c r="F235" s="41"/>
      <c r="G235" s="202"/>
      <c r="H235" s="202"/>
      <c r="I235" s="41"/>
    </row>
    <row r="236" spans="1:9" ht="16.5" thickBot="1">
      <c r="A236" s="58" t="s">
        <v>37</v>
      </c>
      <c r="B236" s="59" t="s">
        <v>38</v>
      </c>
      <c r="C236" s="59" t="s">
        <v>150</v>
      </c>
      <c r="D236" s="60" t="s">
        <v>151</v>
      </c>
      <c r="E236" s="41"/>
      <c r="F236" s="41"/>
      <c r="G236" s="202"/>
      <c r="H236" s="202"/>
      <c r="I236" s="41"/>
    </row>
    <row r="237" spans="1:9" ht="15.75">
      <c r="A237" s="133" t="s">
        <v>193</v>
      </c>
      <c r="B237" s="50">
        <f>I47+E156+E211</f>
        <v>4826.497820900724</v>
      </c>
      <c r="C237" s="68">
        <v>30</v>
      </c>
      <c r="D237" s="52">
        <f>B237/C237</f>
        <v>160.8832606966908</v>
      </c>
      <c r="E237" s="41"/>
      <c r="F237" s="41"/>
      <c r="G237" s="202"/>
      <c r="H237" s="202"/>
      <c r="I237" s="41"/>
    </row>
    <row r="238" spans="1:9" ht="16.5" thickBot="1">
      <c r="A238" s="41"/>
      <c r="B238" s="41"/>
      <c r="C238" s="41"/>
      <c r="D238" s="41"/>
      <c r="E238" s="41"/>
      <c r="F238" s="41"/>
      <c r="G238" s="202"/>
      <c r="H238" s="202"/>
      <c r="I238" s="41"/>
    </row>
    <row r="239" spans="1:9" ht="16.5" thickBot="1">
      <c r="A239" s="296" t="s">
        <v>148</v>
      </c>
      <c r="B239" s="297"/>
      <c r="C239" s="297"/>
      <c r="D239" s="297"/>
      <c r="E239" s="298"/>
      <c r="F239" s="41"/>
      <c r="G239" s="202"/>
      <c r="H239" s="202"/>
      <c r="I239" s="41"/>
    </row>
    <row r="240" spans="1:9" ht="32.25" thickBot="1">
      <c r="A240" s="58" t="s">
        <v>37</v>
      </c>
      <c r="B240" s="59" t="s">
        <v>151</v>
      </c>
      <c r="C240" s="62" t="s">
        <v>152</v>
      </c>
      <c r="D240" s="59" t="s">
        <v>153</v>
      </c>
      <c r="E240" s="60" t="s">
        <v>154</v>
      </c>
      <c r="F240" s="41"/>
      <c r="G240" s="202"/>
      <c r="H240" s="202"/>
      <c r="I240" s="41"/>
    </row>
    <row r="241" spans="1:9" ht="15.75">
      <c r="A241" s="133" t="s">
        <v>193</v>
      </c>
      <c r="B241" s="50">
        <f>D237</f>
        <v>160.8832606966908</v>
      </c>
      <c r="C241" s="95">
        <f>E231</f>
        <v>27.319600273972608</v>
      </c>
      <c r="D241" s="50">
        <f>B241*C241</f>
        <v>4395.2663730069207</v>
      </c>
      <c r="E241" s="52">
        <f>D241/12</f>
        <v>366.27219775057671</v>
      </c>
      <c r="F241" s="41"/>
      <c r="G241" s="202"/>
      <c r="H241" s="202"/>
      <c r="I241" s="41"/>
    </row>
    <row r="242" spans="1:9" ht="15.75">
      <c r="A242" s="41"/>
      <c r="B242" s="41"/>
      <c r="C242" s="41"/>
      <c r="D242" s="41"/>
      <c r="E242" s="41"/>
      <c r="F242" s="41"/>
      <c r="G242" s="202"/>
      <c r="H242" s="202"/>
      <c r="I242" s="41"/>
    </row>
    <row r="243" spans="1:9" ht="15.75">
      <c r="A243" s="41"/>
      <c r="B243" s="41"/>
      <c r="C243" s="41"/>
      <c r="D243" s="41"/>
      <c r="E243" s="41"/>
      <c r="F243" s="41"/>
      <c r="G243" s="202"/>
      <c r="H243" s="202"/>
      <c r="I243" s="41"/>
    </row>
    <row r="244" spans="1:9" ht="15.75">
      <c r="A244" s="254" t="s">
        <v>127</v>
      </c>
      <c r="B244" s="254"/>
      <c r="C244" s="254"/>
      <c r="D244" s="254"/>
      <c r="E244" s="254"/>
      <c r="F244" s="254"/>
      <c r="G244" s="254"/>
      <c r="H244" s="254"/>
      <c r="I244" s="254"/>
    </row>
    <row r="245" spans="1:9" ht="16.5" thickBot="1">
      <c r="A245" s="41"/>
      <c r="B245" s="41"/>
      <c r="C245" s="41"/>
      <c r="D245" s="41"/>
      <c r="E245" s="41"/>
      <c r="F245" s="41"/>
      <c r="G245" s="202"/>
      <c r="H245" s="202"/>
      <c r="I245" s="41"/>
    </row>
    <row r="246" spans="1:9" ht="16.5" thickBot="1">
      <c r="A246" s="255" t="s">
        <v>127</v>
      </c>
      <c r="B246" s="256"/>
      <c r="C246" s="256"/>
      <c r="D246" s="257"/>
      <c r="E246" s="41"/>
      <c r="F246" s="41"/>
      <c r="G246" s="202"/>
      <c r="H246" s="202"/>
      <c r="I246" s="41"/>
    </row>
    <row r="247" spans="1:9" ht="16.5" thickBot="1">
      <c r="A247" s="58" t="s">
        <v>37</v>
      </c>
      <c r="B247" s="59" t="s">
        <v>155</v>
      </c>
      <c r="C247" s="59" t="s">
        <v>156</v>
      </c>
      <c r="D247" s="60" t="s">
        <v>44</v>
      </c>
      <c r="E247" s="41"/>
      <c r="F247" s="41"/>
      <c r="G247" s="202"/>
      <c r="H247" s="202"/>
      <c r="I247" s="41"/>
    </row>
    <row r="248" spans="1:9" ht="15.75">
      <c r="A248" s="133" t="s">
        <v>193</v>
      </c>
      <c r="B248" s="50">
        <f>E241</f>
        <v>366.27219775057671</v>
      </c>
      <c r="C248" s="50">
        <v>0</v>
      </c>
      <c r="D248" s="52">
        <f>SUM(B248:C248)</f>
        <v>366.27219775057671</v>
      </c>
      <c r="E248" s="41"/>
      <c r="F248" s="41"/>
      <c r="G248" s="202"/>
      <c r="H248" s="202"/>
      <c r="I248" s="41"/>
    </row>
    <row r="249" spans="1:9" ht="15.75">
      <c r="A249" s="41"/>
      <c r="B249" s="41"/>
      <c r="C249" s="41"/>
      <c r="D249" s="41"/>
      <c r="E249" s="41"/>
      <c r="F249" s="41"/>
      <c r="G249" s="202"/>
      <c r="H249" s="202"/>
      <c r="I249" s="41"/>
    </row>
    <row r="250" spans="1:9" ht="15.75">
      <c r="A250" s="254" t="s">
        <v>157</v>
      </c>
      <c r="B250" s="254"/>
      <c r="C250" s="254"/>
      <c r="D250" s="254"/>
      <c r="E250" s="254"/>
      <c r="F250" s="41"/>
      <c r="G250" s="202"/>
      <c r="H250" s="202"/>
      <c r="I250" s="41"/>
    </row>
    <row r="251" spans="1:9" ht="16.5" thickBot="1">
      <c r="A251" s="96"/>
      <c r="B251" s="96"/>
      <c r="C251" s="96"/>
      <c r="D251" s="96"/>
      <c r="E251" s="96"/>
      <c r="F251" s="41"/>
      <c r="G251" s="202"/>
      <c r="H251" s="202"/>
      <c r="I251" s="41"/>
    </row>
    <row r="252" spans="1:9" ht="16.5" thickBot="1">
      <c r="A252" s="293" t="s">
        <v>158</v>
      </c>
      <c r="B252" s="294"/>
      <c r="C252" s="294"/>
      <c r="D252" s="295"/>
      <c r="E252" s="97"/>
      <c r="F252" s="41"/>
      <c r="G252" s="202"/>
      <c r="H252" s="202"/>
      <c r="I252" s="41"/>
    </row>
    <row r="253" spans="1:9" ht="16.5" thickBot="1">
      <c r="A253" s="98" t="s">
        <v>159</v>
      </c>
      <c r="B253" s="99" t="s">
        <v>160</v>
      </c>
      <c r="C253" s="99" t="s">
        <v>161</v>
      </c>
      <c r="D253" s="100" t="s">
        <v>40</v>
      </c>
      <c r="E253" s="41"/>
      <c r="F253" s="41"/>
      <c r="G253" s="202"/>
      <c r="H253" s="202"/>
      <c r="I253" s="41"/>
    </row>
    <row r="254" spans="1:9" ht="63">
      <c r="A254" s="145" t="s">
        <v>162</v>
      </c>
      <c r="B254" s="101">
        <v>2</v>
      </c>
      <c r="C254" s="356">
        <v>49.5</v>
      </c>
      <c r="D254" s="357">
        <f>B254*C254</f>
        <v>99</v>
      </c>
      <c r="E254" s="41"/>
      <c r="F254" s="41"/>
      <c r="G254" s="202"/>
      <c r="H254" s="202"/>
      <c r="I254" s="41"/>
    </row>
    <row r="255" spans="1:9" ht="79.5" thickBot="1">
      <c r="A255" s="146" t="s">
        <v>163</v>
      </c>
      <c r="B255" s="102">
        <v>4</v>
      </c>
      <c r="C255" s="358">
        <v>17.399999999999999</v>
      </c>
      <c r="D255" s="357">
        <f t="shared" ref="D255:D256" si="1">B255*C255</f>
        <v>69.599999999999994</v>
      </c>
      <c r="E255" s="41"/>
      <c r="F255" s="41"/>
      <c r="G255" s="202"/>
      <c r="H255" s="202"/>
      <c r="I255" s="41"/>
    </row>
    <row r="256" spans="1:9" ht="48" thickBot="1">
      <c r="A256" s="146" t="s">
        <v>164</v>
      </c>
      <c r="B256" s="102">
        <v>4</v>
      </c>
      <c r="C256" s="358">
        <v>4.4400000000000004</v>
      </c>
      <c r="D256" s="357">
        <f t="shared" si="1"/>
        <v>17.760000000000002</v>
      </c>
      <c r="E256" s="41"/>
      <c r="F256" s="41"/>
      <c r="G256" s="202"/>
      <c r="H256" s="202"/>
      <c r="I256" s="41"/>
    </row>
    <row r="257" spans="1:9" ht="79.5" thickBot="1">
      <c r="A257" s="146" t="s">
        <v>165</v>
      </c>
      <c r="B257" s="102">
        <v>2</v>
      </c>
      <c r="C257" s="358">
        <v>38.5</v>
      </c>
      <c r="D257" s="357">
        <f t="shared" ref="D257:D258" si="2">B257*C257</f>
        <v>77</v>
      </c>
      <c r="E257" s="41"/>
      <c r="F257" s="41"/>
      <c r="G257" s="202"/>
      <c r="H257" s="202"/>
      <c r="I257" s="41"/>
    </row>
    <row r="258" spans="1:9" ht="48" thickBot="1">
      <c r="A258" s="146" t="s">
        <v>166</v>
      </c>
      <c r="B258" s="102">
        <v>1</v>
      </c>
      <c r="C258" s="358">
        <v>2.13</v>
      </c>
      <c r="D258" s="357">
        <f t="shared" si="2"/>
        <v>2.13</v>
      </c>
      <c r="E258" s="41"/>
      <c r="F258" s="41"/>
      <c r="G258" s="202"/>
      <c r="H258" s="202"/>
      <c r="I258" s="41"/>
    </row>
    <row r="259" spans="1:9" ht="16.5" thickBot="1">
      <c r="A259" s="282" t="s">
        <v>167</v>
      </c>
      <c r="B259" s="283"/>
      <c r="C259" s="283"/>
      <c r="D259" s="103">
        <f>SUM(D254:D258)</f>
        <v>265.49</v>
      </c>
      <c r="E259" s="41"/>
      <c r="F259" s="41"/>
      <c r="G259" s="202"/>
      <c r="H259" s="202"/>
      <c r="I259" s="41"/>
    </row>
    <row r="260" spans="1:9" ht="16.5" thickBot="1">
      <c r="A260" s="41"/>
      <c r="B260" s="104"/>
      <c r="C260" s="104"/>
      <c r="D260" s="104"/>
      <c r="E260" s="105"/>
      <c r="F260" s="41"/>
      <c r="G260" s="202"/>
      <c r="H260" s="202"/>
      <c r="I260" s="41"/>
    </row>
    <row r="261" spans="1:9" ht="16.5" thickBot="1">
      <c r="A261" s="284" t="s">
        <v>168</v>
      </c>
      <c r="B261" s="285"/>
      <c r="C261" s="286"/>
      <c r="D261" s="106"/>
      <c r="E261" s="106"/>
      <c r="F261" s="41"/>
      <c r="G261" s="202"/>
      <c r="H261" s="202"/>
      <c r="I261" s="41"/>
    </row>
    <row r="262" spans="1:9" ht="16.5" thickBot="1">
      <c r="A262" s="98" t="s">
        <v>37</v>
      </c>
      <c r="B262" s="107" t="s">
        <v>153</v>
      </c>
      <c r="C262" s="108" t="s">
        <v>169</v>
      </c>
      <c r="D262" s="106"/>
      <c r="E262" s="106"/>
      <c r="F262" s="41"/>
      <c r="G262" s="202"/>
      <c r="H262" s="202"/>
      <c r="I262" s="41"/>
    </row>
    <row r="263" spans="1:9" ht="15.75">
      <c r="A263" s="133" t="s">
        <v>193</v>
      </c>
      <c r="B263" s="109">
        <f>D259</f>
        <v>265.49</v>
      </c>
      <c r="C263" s="110">
        <f>B263/12</f>
        <v>22.124166666666667</v>
      </c>
      <c r="D263" s="104"/>
      <c r="E263" s="41"/>
      <c r="F263" s="41"/>
      <c r="G263" s="202"/>
      <c r="H263" s="202"/>
      <c r="I263" s="41"/>
    </row>
    <row r="264" spans="1:9" ht="15.75">
      <c r="A264" s="41"/>
      <c r="B264" s="104"/>
      <c r="C264" s="104"/>
      <c r="D264" s="104"/>
      <c r="E264" s="41"/>
      <c r="F264" s="41"/>
      <c r="G264" s="202"/>
      <c r="H264" s="202"/>
      <c r="I264" s="41"/>
    </row>
    <row r="265" spans="1:9" ht="16.5" thickBot="1">
      <c r="A265" s="41"/>
      <c r="B265" s="104"/>
      <c r="C265" s="104"/>
      <c r="D265" s="104"/>
      <c r="E265" s="41"/>
      <c r="F265" s="41"/>
      <c r="G265" s="202"/>
      <c r="H265" s="202"/>
      <c r="I265" s="41"/>
    </row>
    <row r="266" spans="1:9" ht="16.5" thickBot="1">
      <c r="A266" s="287" t="s">
        <v>195</v>
      </c>
      <c r="B266" s="288"/>
      <c r="C266" s="288"/>
      <c r="D266" s="289"/>
      <c r="E266" s="41"/>
      <c r="F266" s="41"/>
      <c r="G266" s="202"/>
      <c r="H266" s="202"/>
      <c r="I266" s="41"/>
    </row>
    <row r="267" spans="1:9" ht="32.25" thickBot="1">
      <c r="A267" s="111" t="s">
        <v>37</v>
      </c>
      <c r="B267" s="112" t="s">
        <v>153</v>
      </c>
      <c r="C267" s="112" t="s">
        <v>154</v>
      </c>
      <c r="D267" s="113" t="s">
        <v>171</v>
      </c>
      <c r="E267" s="41"/>
      <c r="F267" s="41"/>
      <c r="G267" s="202"/>
      <c r="H267" s="202"/>
      <c r="I267" s="41"/>
    </row>
    <row r="268" spans="1:9" ht="15.75">
      <c r="A268" s="133" t="s">
        <v>193</v>
      </c>
      <c r="B268" s="109">
        <v>0</v>
      </c>
      <c r="C268" s="109">
        <f>B268/12</f>
        <v>0</v>
      </c>
      <c r="D268" s="114">
        <f>C268</f>
        <v>0</v>
      </c>
      <c r="E268" s="41"/>
      <c r="F268" s="41"/>
      <c r="G268" s="202"/>
      <c r="H268" s="202"/>
      <c r="I268" s="41"/>
    </row>
    <row r="269" spans="1:9" ht="16.5" thickBot="1">
      <c r="A269" s="41"/>
      <c r="B269" s="41"/>
      <c r="C269" s="41"/>
      <c r="D269" s="41"/>
      <c r="E269" s="41"/>
      <c r="F269" s="41"/>
      <c r="G269" s="202"/>
      <c r="H269" s="202"/>
      <c r="I269" s="41"/>
    </row>
    <row r="270" spans="1:9" ht="16.5" thickBot="1">
      <c r="A270" s="293" t="s">
        <v>173</v>
      </c>
      <c r="B270" s="294"/>
      <c r="C270" s="294"/>
      <c r="D270" s="295"/>
      <c r="E270" s="41"/>
      <c r="F270" s="41"/>
      <c r="G270" s="202"/>
      <c r="H270" s="202"/>
      <c r="I270" s="41"/>
    </row>
    <row r="271" spans="1:9" ht="16.5" thickBot="1">
      <c r="A271" s="111" t="s">
        <v>37</v>
      </c>
      <c r="B271" s="112" t="s">
        <v>174</v>
      </c>
      <c r="C271" s="112" t="s">
        <v>196</v>
      </c>
      <c r="D271" s="115" t="s">
        <v>40</v>
      </c>
      <c r="E271" s="41"/>
      <c r="F271" s="41"/>
      <c r="G271" s="202"/>
      <c r="H271" s="202"/>
      <c r="I271" s="41"/>
    </row>
    <row r="272" spans="1:9" ht="15.75">
      <c r="A272" s="133" t="s">
        <v>193</v>
      </c>
      <c r="B272" s="116">
        <f>C263</f>
        <v>22.124166666666667</v>
      </c>
      <c r="C272" s="116">
        <f>D268</f>
        <v>0</v>
      </c>
      <c r="D272" s="117">
        <f>SUM(B272:C272)</f>
        <v>22.124166666666667</v>
      </c>
      <c r="E272" s="41"/>
      <c r="F272" s="41"/>
      <c r="G272" s="202"/>
      <c r="H272" s="202"/>
      <c r="I272" s="41"/>
    </row>
    <row r="273" spans="1:9" ht="15.75">
      <c r="A273" s="41"/>
      <c r="B273" s="41"/>
      <c r="C273" s="41"/>
      <c r="D273" s="41"/>
      <c r="E273" s="41"/>
      <c r="F273" s="41"/>
      <c r="G273" s="202"/>
      <c r="H273" s="202"/>
      <c r="I273" s="41"/>
    </row>
    <row r="274" spans="1:9" ht="15.75">
      <c r="A274" s="254" t="s">
        <v>177</v>
      </c>
      <c r="B274" s="254"/>
      <c r="C274" s="254"/>
      <c r="D274" s="254"/>
      <c r="E274" s="254"/>
      <c r="F274" s="254"/>
      <c r="G274" s="254"/>
      <c r="H274" s="254"/>
      <c r="I274" s="254"/>
    </row>
    <row r="275" spans="1:9" ht="16.5" thickBot="1">
      <c r="A275" s="41"/>
      <c r="B275" s="41"/>
      <c r="C275" s="41"/>
      <c r="D275" s="41"/>
      <c r="E275" s="41"/>
      <c r="F275" s="41"/>
      <c r="G275" s="202"/>
      <c r="H275" s="202"/>
      <c r="I275" s="41"/>
    </row>
    <row r="276" spans="1:9" ht="16.5" thickBot="1">
      <c r="A276" s="255" t="s">
        <v>177</v>
      </c>
      <c r="B276" s="256"/>
      <c r="C276" s="256"/>
      <c r="D276" s="257"/>
      <c r="E276" s="41"/>
      <c r="F276" s="41"/>
      <c r="G276" s="202"/>
      <c r="H276" s="202"/>
      <c r="I276" s="41"/>
    </row>
    <row r="277" spans="1:9" ht="16.5" thickBot="1">
      <c r="A277" s="58" t="s">
        <v>37</v>
      </c>
      <c r="B277" s="59" t="s">
        <v>38</v>
      </c>
      <c r="C277" s="59" t="s">
        <v>39</v>
      </c>
      <c r="D277" s="60" t="s">
        <v>40</v>
      </c>
      <c r="E277" s="41"/>
      <c r="F277" s="41"/>
      <c r="G277" s="202"/>
      <c r="H277" s="202"/>
      <c r="I277" s="41"/>
    </row>
    <row r="278" spans="1:9" ht="15.75">
      <c r="A278" s="133" t="s">
        <v>193</v>
      </c>
      <c r="B278" s="50">
        <f>I47+E156+E211+D248+D272</f>
        <v>5214.8941853179676</v>
      </c>
      <c r="C278" s="61">
        <f>(1+3%)/(1-14.25%-6.79%)-1</f>
        <v>0.3044579533941234</v>
      </c>
      <c r="D278" s="52">
        <f>B278*C278</f>
        <v>1587.7160108288228</v>
      </c>
      <c r="E278" s="41"/>
      <c r="F278" s="41"/>
      <c r="G278" s="202"/>
      <c r="H278" s="202"/>
      <c r="I278" s="41"/>
    </row>
    <row r="279" spans="1:9" ht="15.75">
      <c r="A279" s="41"/>
      <c r="B279" s="41"/>
      <c r="C279" s="41"/>
      <c r="D279" s="41"/>
      <c r="E279" s="41"/>
      <c r="F279" s="41"/>
      <c r="G279" s="202"/>
      <c r="H279" s="202"/>
      <c r="I279" s="41"/>
    </row>
    <row r="280" spans="1:9" ht="15.75">
      <c r="A280" s="41"/>
      <c r="B280" s="41"/>
      <c r="C280" s="41"/>
      <c r="D280" s="41"/>
      <c r="E280" s="41"/>
      <c r="F280" s="41"/>
      <c r="G280" s="202"/>
      <c r="H280" s="202"/>
      <c r="I280" s="41"/>
    </row>
    <row r="281" spans="1:9" ht="15.75">
      <c r="A281" s="254" t="s">
        <v>178</v>
      </c>
      <c r="B281" s="254"/>
      <c r="C281" s="254"/>
      <c r="D281" s="254"/>
      <c r="E281" s="254"/>
      <c r="F281" s="254"/>
      <c r="G281" s="254"/>
      <c r="H281" s="254"/>
      <c r="I281" s="254"/>
    </row>
    <row r="282" spans="1:9" ht="16.5" thickBot="1">
      <c r="A282" s="41"/>
      <c r="B282" s="41"/>
      <c r="C282" s="41"/>
      <c r="D282" s="41"/>
      <c r="E282" s="41"/>
      <c r="F282" s="41"/>
      <c r="G282" s="202"/>
      <c r="H282" s="202"/>
      <c r="I282" s="41"/>
    </row>
    <row r="283" spans="1:9" ht="16.5" thickBot="1">
      <c r="A283" s="267" t="s">
        <v>179</v>
      </c>
      <c r="B283" s="281"/>
      <c r="C283" s="41"/>
      <c r="D283" s="41"/>
      <c r="E283" s="41"/>
      <c r="F283" s="41"/>
      <c r="G283" s="202"/>
      <c r="H283" s="202"/>
      <c r="I283" s="41"/>
    </row>
    <row r="284" spans="1:9" ht="32.25" thickBot="1">
      <c r="A284" s="94" t="s">
        <v>180</v>
      </c>
      <c r="B284" s="57" t="s">
        <v>197</v>
      </c>
      <c r="C284" s="41"/>
      <c r="D284" s="41"/>
      <c r="E284" s="41"/>
      <c r="F284" s="41"/>
      <c r="G284" s="202"/>
      <c r="H284" s="202"/>
      <c r="I284" s="41"/>
    </row>
    <row r="285" spans="1:9" ht="15.75">
      <c r="A285" s="118" t="s">
        <v>181</v>
      </c>
      <c r="B285" s="119">
        <f>I47</f>
        <v>2402.87</v>
      </c>
      <c r="C285" s="41"/>
      <c r="D285" s="41"/>
      <c r="E285" s="41"/>
      <c r="F285" s="41"/>
      <c r="G285" s="202"/>
      <c r="H285" s="202"/>
      <c r="I285" s="41"/>
    </row>
    <row r="286" spans="1:9" ht="15.75">
      <c r="A286" s="120" t="s">
        <v>182</v>
      </c>
      <c r="B286" s="121">
        <f>E156</f>
        <v>2420.3825873783621</v>
      </c>
      <c r="C286" s="41"/>
      <c r="D286" s="41"/>
      <c r="E286" s="41"/>
      <c r="F286" s="41"/>
      <c r="G286" s="202"/>
      <c r="H286" s="202"/>
      <c r="I286" s="41"/>
    </row>
    <row r="287" spans="1:9" ht="15.75">
      <c r="A287" s="120" t="s">
        <v>183</v>
      </c>
      <c r="B287" s="121">
        <f>E211</f>
        <v>3.2452335223620548</v>
      </c>
      <c r="C287" s="41"/>
      <c r="D287" s="41"/>
      <c r="E287" s="41"/>
      <c r="F287" s="41"/>
      <c r="G287" s="202"/>
      <c r="H287" s="202"/>
      <c r="I287" s="41"/>
    </row>
    <row r="288" spans="1:9" ht="31.5">
      <c r="A288" s="120" t="s">
        <v>184</v>
      </c>
      <c r="B288" s="121">
        <f>D248</f>
        <v>366.27219775057671</v>
      </c>
      <c r="C288" s="41"/>
      <c r="D288" s="41"/>
      <c r="E288" s="41"/>
      <c r="F288" s="41"/>
      <c r="G288" s="202"/>
      <c r="H288" s="202"/>
      <c r="I288" s="41"/>
    </row>
    <row r="289" spans="1:9" ht="15.75">
      <c r="A289" s="120" t="s">
        <v>185</v>
      </c>
      <c r="B289" s="121">
        <f>D272</f>
        <v>22.124166666666667</v>
      </c>
      <c r="C289" s="41"/>
      <c r="D289" s="41"/>
      <c r="E289" s="41"/>
      <c r="F289" s="41"/>
      <c r="G289" s="202"/>
      <c r="H289" s="202"/>
      <c r="I289" s="41"/>
    </row>
    <row r="290" spans="1:9" ht="16.5" thickBot="1">
      <c r="A290" s="122" t="s">
        <v>186</v>
      </c>
      <c r="B290" s="123">
        <f>D278</f>
        <v>1587.7160108288228</v>
      </c>
      <c r="C290" s="41"/>
      <c r="D290" s="41"/>
      <c r="E290" s="41"/>
      <c r="F290" s="41"/>
      <c r="G290" s="202"/>
      <c r="H290" s="202"/>
      <c r="I290" s="41"/>
    </row>
    <row r="291" spans="1:9" ht="16.5" thickBot="1">
      <c r="A291" s="136" t="s">
        <v>187</v>
      </c>
      <c r="B291" s="137">
        <f>SUM(B285:B290)</f>
        <v>6802.6101961467903</v>
      </c>
      <c r="C291" s="41"/>
      <c r="D291" s="41"/>
      <c r="E291" s="41"/>
      <c r="F291" s="41"/>
      <c r="G291" s="202"/>
      <c r="H291" s="202"/>
      <c r="I291" s="41"/>
    </row>
    <row r="293" spans="1:9">
      <c r="A293" t="str">
        <f>'Área Dispersas'!J127</f>
        <v>Manaus, 02 de DEZEMBRO de 2024</v>
      </c>
    </row>
    <row r="295" spans="1:9">
      <c r="A295" s="166" t="s">
        <v>188</v>
      </c>
      <c r="C295" s="166" t="s">
        <v>188</v>
      </c>
    </row>
    <row r="296" spans="1:9">
      <c r="A296" s="167" t="s">
        <v>189</v>
      </c>
      <c r="C296" s="167" t="s">
        <v>189</v>
      </c>
    </row>
    <row r="297" spans="1:9">
      <c r="A297" s="168" t="str">
        <f>'Área Dispersas'!J131</f>
        <v>Elton de Jesus Thomaz</v>
      </c>
      <c r="C297" s="168" t="s">
        <v>190</v>
      </c>
    </row>
    <row r="298" spans="1:9">
      <c r="A298" s="169"/>
      <c r="C298" s="167"/>
    </row>
    <row r="299" spans="1:9">
      <c r="A299" s="170"/>
      <c r="C299" s="170"/>
      <c r="D299" s="170"/>
    </row>
  </sheetData>
  <mergeCells count="100">
    <mergeCell ref="A207:I207"/>
    <mergeCell ref="A283:B283"/>
    <mergeCell ref="A250:E250"/>
    <mergeCell ref="A252:D252"/>
    <mergeCell ref="A259:C259"/>
    <mergeCell ref="A261:C261"/>
    <mergeCell ref="A266:D266"/>
    <mergeCell ref="A270:D270"/>
    <mergeCell ref="A274:I274"/>
    <mergeCell ref="A276:D276"/>
    <mergeCell ref="A281:I281"/>
    <mergeCell ref="A246:D246"/>
    <mergeCell ref="A215:E215"/>
    <mergeCell ref="A216:E216"/>
    <mergeCell ref="A217:A218"/>
    <mergeCell ref="B217:B218"/>
    <mergeCell ref="A244:I244"/>
    <mergeCell ref="A231:D231"/>
    <mergeCell ref="A233:I233"/>
    <mergeCell ref="A235:D235"/>
    <mergeCell ref="A239:E239"/>
    <mergeCell ref="A209:E209"/>
    <mergeCell ref="F184:J196"/>
    <mergeCell ref="C217:C218"/>
    <mergeCell ref="D217:E217"/>
    <mergeCell ref="A171:D171"/>
    <mergeCell ref="E171:F171"/>
    <mergeCell ref="A213:I213"/>
    <mergeCell ref="A175:D175"/>
    <mergeCell ref="A179:D179"/>
    <mergeCell ref="A183:I183"/>
    <mergeCell ref="A185:D185"/>
    <mergeCell ref="A189:D189"/>
    <mergeCell ref="A193:D193"/>
    <mergeCell ref="A197:I197"/>
    <mergeCell ref="A199:E199"/>
    <mergeCell ref="A203:D203"/>
    <mergeCell ref="A169:I169"/>
    <mergeCell ref="A137:I137"/>
    <mergeCell ref="A139:D139"/>
    <mergeCell ref="A143:M143"/>
    <mergeCell ref="A117:D117"/>
    <mergeCell ref="A148:F148"/>
    <mergeCell ref="A152:I152"/>
    <mergeCell ref="A154:E154"/>
    <mergeCell ref="A158:I158"/>
    <mergeCell ref="A160:B160"/>
    <mergeCell ref="A121:D121"/>
    <mergeCell ref="A125:I125"/>
    <mergeCell ref="A127:D127"/>
    <mergeCell ref="A131:I131"/>
    <mergeCell ref="A133:D133"/>
    <mergeCell ref="A144:D144"/>
    <mergeCell ref="A107:D107"/>
    <mergeCell ref="A111:I111"/>
    <mergeCell ref="A71:B71"/>
    <mergeCell ref="A83:D83"/>
    <mergeCell ref="A87:D87"/>
    <mergeCell ref="A91:D91"/>
    <mergeCell ref="A95:I95"/>
    <mergeCell ref="A113:D113"/>
    <mergeCell ref="A69:I69"/>
    <mergeCell ref="A32:B32"/>
    <mergeCell ref="A36:I36"/>
    <mergeCell ref="A38:D38"/>
    <mergeCell ref="A43:I43"/>
    <mergeCell ref="A45:I45"/>
    <mergeCell ref="A49:I49"/>
    <mergeCell ref="A51:I51"/>
    <mergeCell ref="A53:D53"/>
    <mergeCell ref="A57:E57"/>
    <mergeCell ref="A61:D61"/>
    <mergeCell ref="A65:E65"/>
    <mergeCell ref="A97:I97"/>
    <mergeCell ref="A99:E99"/>
    <mergeCell ref="A103:E103"/>
    <mergeCell ref="A30:I30"/>
    <mergeCell ref="A17:A20"/>
    <mergeCell ref="C17:D17"/>
    <mergeCell ref="C18:D18"/>
    <mergeCell ref="C19:D19"/>
    <mergeCell ref="C20:D20"/>
    <mergeCell ref="A22:E22"/>
    <mergeCell ref="A23:E23"/>
    <mergeCell ref="C24:E24"/>
    <mergeCell ref="C25:E25"/>
    <mergeCell ref="C26:E26"/>
    <mergeCell ref="C27:E27"/>
    <mergeCell ref="C16:E16"/>
    <mergeCell ref="A1:I1"/>
    <mergeCell ref="A3:I3"/>
    <mergeCell ref="A4:I4"/>
    <mergeCell ref="C5:E5"/>
    <mergeCell ref="C6:E6"/>
    <mergeCell ref="A9:E9"/>
    <mergeCell ref="C10:E10"/>
    <mergeCell ref="C11:E11"/>
    <mergeCell ref="C12:E12"/>
    <mergeCell ref="C13:E13"/>
    <mergeCell ref="A15:C15"/>
  </mergeCells>
  <pageMargins left="0.511811024" right="0.511811024" top="0.78740157499999996" bottom="0.78740157499999996" header="0.31496062000000002" footer="0.31496062000000002"/>
  <pageSetup paperSize="9" scale="52" orientation="portrait" r:id="rId1"/>
  <rowBreaks count="4" manualBreakCount="4">
    <brk id="41" max="9" man="1"/>
    <brk id="102" max="9" man="1"/>
    <brk id="168" max="9" man="1"/>
    <brk id="242" max="9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2"/>
  <sheetViews>
    <sheetView view="pageBreakPreview" zoomScale="80" zoomScaleNormal="100" zoomScaleSheetLayoutView="80" workbookViewId="0">
      <selection activeCell="K32" sqref="K32"/>
    </sheetView>
  </sheetViews>
  <sheetFormatPr defaultRowHeight="15"/>
  <cols>
    <col min="1" max="1" width="9.140625" style="213"/>
    <col min="2" max="2" width="79.140625" style="213" customWidth="1"/>
    <col min="3" max="4" width="9.140625" style="213"/>
    <col min="5" max="5" width="12.7109375" style="213" bestFit="1" customWidth="1"/>
    <col min="6" max="6" width="13.28515625" style="213" customWidth="1"/>
    <col min="7" max="7" width="20.5703125" style="213" customWidth="1"/>
    <col min="8" max="8" width="16.28515625" style="213" customWidth="1"/>
    <col min="9" max="16384" width="9.140625" style="213"/>
  </cols>
  <sheetData>
    <row r="1" spans="1:8">
      <c r="A1" s="307" t="s">
        <v>198</v>
      </c>
      <c r="B1" s="307"/>
      <c r="C1" s="307"/>
      <c r="D1" s="307"/>
      <c r="E1" s="307"/>
      <c r="F1" s="307"/>
      <c r="G1" s="307"/>
    </row>
    <row r="2" spans="1:8">
      <c r="A2" s="308"/>
      <c r="B2" s="308"/>
      <c r="C2" s="308"/>
      <c r="D2" s="308"/>
      <c r="E2" s="308"/>
      <c r="F2" s="308"/>
      <c r="G2" s="308"/>
    </row>
    <row r="3" spans="1:8">
      <c r="A3" s="309" t="s">
        <v>199</v>
      </c>
      <c r="B3" s="309"/>
      <c r="C3" s="309"/>
      <c r="D3" s="309"/>
      <c r="E3" s="309"/>
      <c r="F3" s="309"/>
      <c r="G3" s="309"/>
    </row>
    <row r="4" spans="1:8">
      <c r="A4" s="309"/>
      <c r="B4" s="309"/>
      <c r="C4" s="309"/>
      <c r="D4" s="309"/>
      <c r="E4" s="309"/>
      <c r="F4" s="309"/>
      <c r="G4" s="309"/>
    </row>
    <row r="5" spans="1:8" ht="15" customHeight="1">
      <c r="A5" s="310" t="s">
        <v>200</v>
      </c>
      <c r="B5" s="310" t="s">
        <v>201</v>
      </c>
      <c r="C5" s="310" t="s">
        <v>202</v>
      </c>
      <c r="D5" s="310" t="s">
        <v>203</v>
      </c>
      <c r="E5" s="311" t="s">
        <v>204</v>
      </c>
      <c r="F5" s="310" t="s">
        <v>205</v>
      </c>
      <c r="G5" s="310"/>
    </row>
    <row r="6" spans="1:8">
      <c r="A6" s="310"/>
      <c r="B6" s="310"/>
      <c r="C6" s="310"/>
      <c r="D6" s="310"/>
      <c r="E6" s="312"/>
      <c r="F6" s="214" t="s">
        <v>206</v>
      </c>
      <c r="G6" s="214" t="s">
        <v>207</v>
      </c>
    </row>
    <row r="7" spans="1:8">
      <c r="A7" s="215">
        <v>1</v>
      </c>
      <c r="B7" s="216" t="s">
        <v>208</v>
      </c>
      <c r="C7" s="215" t="s">
        <v>209</v>
      </c>
      <c r="D7" s="215">
        <v>349</v>
      </c>
      <c r="E7" s="217"/>
      <c r="F7" s="217">
        <v>12.5</v>
      </c>
      <c r="G7" s="218">
        <f t="shared" ref="G7:G38" si="0">D7*F7</f>
        <v>4362.5</v>
      </c>
      <c r="H7" s="213">
        <v>12.5</v>
      </c>
    </row>
    <row r="8" spans="1:8">
      <c r="A8" s="215">
        <v>2</v>
      </c>
      <c r="B8" s="216" t="s">
        <v>210</v>
      </c>
      <c r="C8" s="215" t="s">
        <v>209</v>
      </c>
      <c r="D8" s="215">
        <v>232</v>
      </c>
      <c r="E8" s="217"/>
      <c r="F8" s="217">
        <v>5.7</v>
      </c>
      <c r="G8" s="218">
        <f t="shared" si="0"/>
        <v>1322.4</v>
      </c>
    </row>
    <row r="9" spans="1:8">
      <c r="A9" s="215">
        <v>3</v>
      </c>
      <c r="B9" s="235" t="s">
        <v>211</v>
      </c>
      <c r="C9" s="236" t="s">
        <v>209</v>
      </c>
      <c r="D9" s="236">
        <v>300</v>
      </c>
      <c r="E9" s="237"/>
      <c r="F9" s="237">
        <v>6.45</v>
      </c>
      <c r="G9" s="238">
        <f t="shared" si="0"/>
        <v>1935</v>
      </c>
    </row>
    <row r="10" spans="1:8">
      <c r="A10" s="215">
        <v>4</v>
      </c>
      <c r="B10" s="239" t="s">
        <v>212</v>
      </c>
      <c r="C10" s="236" t="s">
        <v>213</v>
      </c>
      <c r="D10" s="240">
        <v>106</v>
      </c>
      <c r="E10" s="237"/>
      <c r="F10" s="237">
        <v>15.5</v>
      </c>
      <c r="G10" s="238">
        <f t="shared" si="0"/>
        <v>1643</v>
      </c>
    </row>
    <row r="11" spans="1:8">
      <c r="A11" s="215">
        <v>5</v>
      </c>
      <c r="B11" s="216" t="s">
        <v>214</v>
      </c>
      <c r="C11" s="215" t="s">
        <v>209</v>
      </c>
      <c r="D11" s="215">
        <v>40</v>
      </c>
      <c r="E11" s="217"/>
      <c r="F11" s="217">
        <v>8.24</v>
      </c>
      <c r="G11" s="218">
        <f t="shared" si="0"/>
        <v>329.6</v>
      </c>
    </row>
    <row r="12" spans="1:8">
      <c r="A12" s="215">
        <v>6</v>
      </c>
      <c r="B12" s="216" t="s">
        <v>215</v>
      </c>
      <c r="C12" s="215" t="s">
        <v>209</v>
      </c>
      <c r="D12" s="215">
        <v>20</v>
      </c>
      <c r="E12" s="217"/>
      <c r="F12" s="217">
        <v>32.67</v>
      </c>
      <c r="G12" s="218">
        <f t="shared" si="0"/>
        <v>653.40000000000009</v>
      </c>
    </row>
    <row r="13" spans="1:8">
      <c r="A13" s="215">
        <v>7</v>
      </c>
      <c r="B13" s="216" t="s">
        <v>216</v>
      </c>
      <c r="C13" s="215" t="s">
        <v>209</v>
      </c>
      <c r="D13" s="215">
        <v>20</v>
      </c>
      <c r="E13" s="217"/>
      <c r="F13" s="217">
        <v>49.22</v>
      </c>
      <c r="G13" s="218">
        <f t="shared" si="0"/>
        <v>984.4</v>
      </c>
    </row>
    <row r="14" spans="1:8">
      <c r="A14" s="215">
        <v>8</v>
      </c>
      <c r="B14" s="216" t="s">
        <v>217</v>
      </c>
      <c r="C14" s="215" t="s">
        <v>209</v>
      </c>
      <c r="D14" s="215">
        <v>80</v>
      </c>
      <c r="E14" s="217"/>
      <c r="F14" s="217">
        <v>16</v>
      </c>
      <c r="G14" s="218">
        <f t="shared" si="0"/>
        <v>1280</v>
      </c>
    </row>
    <row r="15" spans="1:8">
      <c r="A15" s="215">
        <v>9</v>
      </c>
      <c r="B15" s="216" t="s">
        <v>218</v>
      </c>
      <c r="C15" s="215" t="s">
        <v>209</v>
      </c>
      <c r="D15" s="219">
        <v>20</v>
      </c>
      <c r="E15" s="217"/>
      <c r="F15" s="217">
        <v>23.74</v>
      </c>
      <c r="G15" s="218">
        <f t="shared" si="0"/>
        <v>474.79999999999995</v>
      </c>
    </row>
    <row r="16" spans="1:8">
      <c r="A16" s="215">
        <v>10</v>
      </c>
      <c r="B16" s="241" t="s">
        <v>418</v>
      </c>
      <c r="C16" s="236" t="s">
        <v>209</v>
      </c>
      <c r="D16" s="236">
        <v>400</v>
      </c>
      <c r="E16" s="237"/>
      <c r="F16" s="237">
        <v>4.46</v>
      </c>
      <c r="G16" s="238">
        <f t="shared" si="0"/>
        <v>1784</v>
      </c>
    </row>
    <row r="17" spans="1:7" ht="30">
      <c r="A17" s="215">
        <v>11</v>
      </c>
      <c r="B17" s="242" t="s">
        <v>219</v>
      </c>
      <c r="C17" s="236" t="s">
        <v>209</v>
      </c>
      <c r="D17" s="240">
        <v>310</v>
      </c>
      <c r="E17" s="237"/>
      <c r="F17" s="237">
        <v>2.72</v>
      </c>
      <c r="G17" s="238">
        <f t="shared" si="0"/>
        <v>843.2</v>
      </c>
    </row>
    <row r="18" spans="1:7">
      <c r="A18" s="215">
        <v>12</v>
      </c>
      <c r="B18" s="216" t="s">
        <v>220</v>
      </c>
      <c r="C18" s="215" t="s">
        <v>209</v>
      </c>
      <c r="D18" s="215">
        <v>45</v>
      </c>
      <c r="E18" s="217"/>
      <c r="F18" s="217">
        <v>4.03</v>
      </c>
      <c r="G18" s="218">
        <f t="shared" si="0"/>
        <v>181.35000000000002</v>
      </c>
    </row>
    <row r="19" spans="1:7">
      <c r="A19" s="215">
        <v>13</v>
      </c>
      <c r="B19" s="216" t="s">
        <v>221</v>
      </c>
      <c r="C19" s="215" t="s">
        <v>209</v>
      </c>
      <c r="D19" s="215">
        <v>45</v>
      </c>
      <c r="E19" s="217"/>
      <c r="F19" s="217">
        <v>5.49</v>
      </c>
      <c r="G19" s="218">
        <f t="shared" si="0"/>
        <v>247.05</v>
      </c>
    </row>
    <row r="20" spans="1:7">
      <c r="A20" s="215">
        <v>14</v>
      </c>
      <c r="B20" s="216" t="s">
        <v>419</v>
      </c>
      <c r="C20" s="215" t="s">
        <v>209</v>
      </c>
      <c r="D20" s="215">
        <v>1600</v>
      </c>
      <c r="E20" s="217"/>
      <c r="F20" s="217">
        <v>4.2300000000000004</v>
      </c>
      <c r="G20" s="218">
        <f t="shared" si="0"/>
        <v>6768.0000000000009</v>
      </c>
    </row>
    <row r="21" spans="1:7">
      <c r="A21" s="215">
        <v>15</v>
      </c>
      <c r="B21" s="216" t="s">
        <v>222</v>
      </c>
      <c r="C21" s="215" t="s">
        <v>209</v>
      </c>
      <c r="D21" s="215">
        <v>715</v>
      </c>
      <c r="E21" s="217"/>
      <c r="F21" s="217">
        <v>7.31</v>
      </c>
      <c r="G21" s="218">
        <f t="shared" si="0"/>
        <v>5226.6499999999996</v>
      </c>
    </row>
    <row r="22" spans="1:7">
      <c r="A22" s="215">
        <v>16</v>
      </c>
      <c r="B22" s="220" t="s">
        <v>223</v>
      </c>
      <c r="C22" s="215" t="s">
        <v>209</v>
      </c>
      <c r="D22" s="221">
        <v>1730</v>
      </c>
      <c r="E22" s="222"/>
      <c r="F22" s="222">
        <v>2.2799999999999998</v>
      </c>
      <c r="G22" s="218">
        <f t="shared" si="0"/>
        <v>3944.3999999999996</v>
      </c>
    </row>
    <row r="23" spans="1:7">
      <c r="A23" s="215">
        <v>17</v>
      </c>
      <c r="B23" s="216" t="s">
        <v>224</v>
      </c>
      <c r="C23" s="215" t="s">
        <v>209</v>
      </c>
      <c r="D23" s="215">
        <v>202</v>
      </c>
      <c r="E23" s="217"/>
      <c r="F23" s="217">
        <v>10.88</v>
      </c>
      <c r="G23" s="218">
        <f t="shared" si="0"/>
        <v>2197.7600000000002</v>
      </c>
    </row>
    <row r="24" spans="1:7">
      <c r="A24" s="215">
        <v>18</v>
      </c>
      <c r="B24" s="220" t="s">
        <v>225</v>
      </c>
      <c r="C24" s="215" t="s">
        <v>209</v>
      </c>
      <c r="D24" s="215">
        <v>20</v>
      </c>
      <c r="E24" s="217"/>
      <c r="F24" s="217">
        <v>27</v>
      </c>
      <c r="G24" s="218">
        <f t="shared" si="0"/>
        <v>540</v>
      </c>
    </row>
    <row r="25" spans="1:7">
      <c r="A25" s="215">
        <v>19</v>
      </c>
      <c r="B25" s="220" t="s">
        <v>226</v>
      </c>
      <c r="C25" s="215" t="s">
        <v>209</v>
      </c>
      <c r="D25" s="215">
        <v>20</v>
      </c>
      <c r="E25" s="217"/>
      <c r="F25" s="217">
        <v>61</v>
      </c>
      <c r="G25" s="218">
        <f t="shared" si="0"/>
        <v>1220</v>
      </c>
    </row>
    <row r="26" spans="1:7">
      <c r="A26" s="215">
        <v>20</v>
      </c>
      <c r="B26" s="216" t="s">
        <v>227</v>
      </c>
      <c r="C26" s="215" t="s">
        <v>209</v>
      </c>
      <c r="D26" s="215">
        <v>60</v>
      </c>
      <c r="E26" s="217"/>
      <c r="F26" s="217">
        <v>31.38</v>
      </c>
      <c r="G26" s="218">
        <f t="shared" si="0"/>
        <v>1882.8</v>
      </c>
    </row>
    <row r="27" spans="1:7">
      <c r="A27" s="215">
        <v>21</v>
      </c>
      <c r="B27" s="220" t="s">
        <v>228</v>
      </c>
      <c r="C27" s="215" t="s">
        <v>209</v>
      </c>
      <c r="D27" s="215">
        <v>20</v>
      </c>
      <c r="E27" s="217"/>
      <c r="F27" s="217">
        <v>25.06</v>
      </c>
      <c r="G27" s="218">
        <f t="shared" si="0"/>
        <v>501.2</v>
      </c>
    </row>
    <row r="28" spans="1:7">
      <c r="A28" s="215">
        <v>22</v>
      </c>
      <c r="B28" s="216" t="s">
        <v>229</v>
      </c>
      <c r="C28" s="215" t="s">
        <v>209</v>
      </c>
      <c r="D28" s="215">
        <v>55</v>
      </c>
      <c r="E28" s="222"/>
      <c r="F28" s="222">
        <v>24.08</v>
      </c>
      <c r="G28" s="218">
        <f t="shared" si="0"/>
        <v>1324.3999999999999</v>
      </c>
    </row>
    <row r="29" spans="1:7">
      <c r="A29" s="215">
        <v>23</v>
      </c>
      <c r="B29" s="216" t="s">
        <v>230</v>
      </c>
      <c r="C29" s="215" t="s">
        <v>209</v>
      </c>
      <c r="D29" s="215">
        <v>57</v>
      </c>
      <c r="E29" s="217"/>
      <c r="F29" s="217">
        <v>23.99</v>
      </c>
      <c r="G29" s="218">
        <f t="shared" si="0"/>
        <v>1367.4299999999998</v>
      </c>
    </row>
    <row r="30" spans="1:7">
      <c r="A30" s="215">
        <v>24</v>
      </c>
      <c r="B30" s="216" t="s">
        <v>231</v>
      </c>
      <c r="C30" s="215" t="s">
        <v>209</v>
      </c>
      <c r="D30" s="215">
        <v>110</v>
      </c>
      <c r="E30" s="217"/>
      <c r="F30" s="217">
        <v>30</v>
      </c>
      <c r="G30" s="218">
        <f t="shared" si="0"/>
        <v>3300</v>
      </c>
    </row>
    <row r="31" spans="1:7">
      <c r="A31" s="215">
        <v>25</v>
      </c>
      <c r="B31" s="216" t="s">
        <v>232</v>
      </c>
      <c r="C31" s="215" t="s">
        <v>209</v>
      </c>
      <c r="D31" s="215">
        <v>81</v>
      </c>
      <c r="E31" s="217"/>
      <c r="F31" s="217">
        <v>4</v>
      </c>
      <c r="G31" s="218">
        <f t="shared" si="0"/>
        <v>324</v>
      </c>
    </row>
    <row r="32" spans="1:7" ht="30">
      <c r="A32" s="215">
        <v>26</v>
      </c>
      <c r="B32" s="220" t="s">
        <v>233</v>
      </c>
      <c r="C32" s="215" t="s">
        <v>209</v>
      </c>
      <c r="D32" s="219">
        <v>35</v>
      </c>
      <c r="E32" s="217"/>
      <c r="F32" s="217">
        <v>35.83</v>
      </c>
      <c r="G32" s="218">
        <f t="shared" si="0"/>
        <v>1254.05</v>
      </c>
    </row>
    <row r="33" spans="1:7">
      <c r="A33" s="215">
        <v>27</v>
      </c>
      <c r="B33" s="216" t="s">
        <v>234</v>
      </c>
      <c r="C33" s="215" t="s">
        <v>209</v>
      </c>
      <c r="D33" s="215">
        <v>107</v>
      </c>
      <c r="E33" s="217"/>
      <c r="F33" s="217">
        <v>10.99</v>
      </c>
      <c r="G33" s="218">
        <f t="shared" si="0"/>
        <v>1175.93</v>
      </c>
    </row>
    <row r="34" spans="1:7">
      <c r="A34" s="215">
        <v>28</v>
      </c>
      <c r="B34" s="216" t="s">
        <v>235</v>
      </c>
      <c r="C34" s="215" t="s">
        <v>209</v>
      </c>
      <c r="D34" s="215">
        <v>534</v>
      </c>
      <c r="E34" s="217"/>
      <c r="F34" s="217">
        <v>1.54</v>
      </c>
      <c r="G34" s="218">
        <f t="shared" si="0"/>
        <v>822.36</v>
      </c>
    </row>
    <row r="35" spans="1:7">
      <c r="A35" s="215">
        <v>29</v>
      </c>
      <c r="B35" s="216" t="s">
        <v>236</v>
      </c>
      <c r="C35" s="215" t="s">
        <v>209</v>
      </c>
      <c r="D35" s="215">
        <v>376</v>
      </c>
      <c r="E35" s="217"/>
      <c r="F35" s="217">
        <v>1.83</v>
      </c>
      <c r="G35" s="218">
        <f t="shared" si="0"/>
        <v>688.08</v>
      </c>
    </row>
    <row r="36" spans="1:7">
      <c r="A36" s="215">
        <v>30</v>
      </c>
      <c r="B36" s="216" t="s">
        <v>237</v>
      </c>
      <c r="C36" s="215" t="s">
        <v>209</v>
      </c>
      <c r="D36" s="215">
        <v>40</v>
      </c>
      <c r="E36" s="217"/>
      <c r="F36" s="217">
        <v>1.1000000000000001</v>
      </c>
      <c r="G36" s="218">
        <f t="shared" si="0"/>
        <v>44</v>
      </c>
    </row>
    <row r="37" spans="1:7">
      <c r="A37" s="215">
        <v>31</v>
      </c>
      <c r="B37" s="216" t="s">
        <v>416</v>
      </c>
      <c r="C37" s="215" t="s">
        <v>209</v>
      </c>
      <c r="D37" s="215">
        <v>302</v>
      </c>
      <c r="E37" s="217"/>
      <c r="F37" s="217">
        <v>1.59</v>
      </c>
      <c r="G37" s="218">
        <f t="shared" si="0"/>
        <v>480.18</v>
      </c>
    </row>
    <row r="38" spans="1:7">
      <c r="A38" s="215">
        <v>32</v>
      </c>
      <c r="B38" s="216" t="s">
        <v>238</v>
      </c>
      <c r="C38" s="215" t="s">
        <v>209</v>
      </c>
      <c r="D38" s="215">
        <v>354</v>
      </c>
      <c r="E38" s="217"/>
      <c r="F38" s="217">
        <v>2.9</v>
      </c>
      <c r="G38" s="218">
        <f t="shared" si="0"/>
        <v>1026.5999999999999</v>
      </c>
    </row>
    <row r="39" spans="1:7" ht="30">
      <c r="A39" s="215">
        <v>33</v>
      </c>
      <c r="B39" s="216" t="s">
        <v>239</v>
      </c>
      <c r="C39" s="215" t="s">
        <v>209</v>
      </c>
      <c r="D39" s="219">
        <v>252</v>
      </c>
      <c r="E39" s="223"/>
      <c r="F39" s="223">
        <v>2.8</v>
      </c>
      <c r="G39" s="218">
        <f t="shared" ref="G39:G70" si="1">D39*F39</f>
        <v>705.59999999999991</v>
      </c>
    </row>
    <row r="40" spans="1:7">
      <c r="A40" s="215">
        <v>34</v>
      </c>
      <c r="B40" s="216" t="s">
        <v>240</v>
      </c>
      <c r="C40" s="215" t="s">
        <v>209</v>
      </c>
      <c r="D40" s="215">
        <v>124</v>
      </c>
      <c r="E40" s="223"/>
      <c r="F40" s="223">
        <v>4.5199999999999996</v>
      </c>
      <c r="G40" s="218">
        <f t="shared" si="1"/>
        <v>560.4799999999999</v>
      </c>
    </row>
    <row r="41" spans="1:7">
      <c r="A41" s="215">
        <v>35</v>
      </c>
      <c r="B41" s="216" t="s">
        <v>241</v>
      </c>
      <c r="C41" s="215" t="s">
        <v>209</v>
      </c>
      <c r="D41" s="215">
        <v>10</v>
      </c>
      <c r="E41" s="223"/>
      <c r="F41" s="223">
        <v>153.6</v>
      </c>
      <c r="G41" s="218">
        <f t="shared" si="1"/>
        <v>1536</v>
      </c>
    </row>
    <row r="42" spans="1:7">
      <c r="A42" s="215">
        <v>36</v>
      </c>
      <c r="B42" s="216" t="s">
        <v>242</v>
      </c>
      <c r="C42" s="215" t="s">
        <v>209</v>
      </c>
      <c r="D42" s="215">
        <v>10</v>
      </c>
      <c r="E42" s="223"/>
      <c r="F42" s="223">
        <v>68.5</v>
      </c>
      <c r="G42" s="218">
        <f t="shared" si="1"/>
        <v>685</v>
      </c>
    </row>
    <row r="43" spans="1:7">
      <c r="A43" s="215">
        <v>37</v>
      </c>
      <c r="B43" s="216" t="s">
        <v>243</v>
      </c>
      <c r="C43" s="215" t="s">
        <v>209</v>
      </c>
      <c r="D43" s="215">
        <v>235</v>
      </c>
      <c r="E43" s="223"/>
      <c r="F43" s="223">
        <v>5.7</v>
      </c>
      <c r="G43" s="218">
        <f t="shared" si="1"/>
        <v>1339.5</v>
      </c>
    </row>
    <row r="44" spans="1:7">
      <c r="A44" s="215">
        <v>38</v>
      </c>
      <c r="B44" s="216" t="s">
        <v>244</v>
      </c>
      <c r="C44" s="215" t="s">
        <v>209</v>
      </c>
      <c r="D44" s="215">
        <v>146</v>
      </c>
      <c r="E44" s="217"/>
      <c r="F44" s="217">
        <v>7</v>
      </c>
      <c r="G44" s="218">
        <f t="shared" si="1"/>
        <v>1022</v>
      </c>
    </row>
    <row r="45" spans="1:7" ht="45">
      <c r="A45" s="215">
        <v>39</v>
      </c>
      <c r="B45" s="241" t="s">
        <v>245</v>
      </c>
      <c r="C45" s="236" t="s">
        <v>209</v>
      </c>
      <c r="D45" s="240">
        <v>18</v>
      </c>
      <c r="E45" s="237"/>
      <c r="F45" s="237">
        <v>8.2200000000000006</v>
      </c>
      <c r="G45" s="238">
        <f t="shared" si="1"/>
        <v>147.96</v>
      </c>
    </row>
    <row r="46" spans="1:7">
      <c r="A46" s="215">
        <v>40</v>
      </c>
      <c r="B46" s="241" t="s">
        <v>246</v>
      </c>
      <c r="C46" s="236" t="s">
        <v>209</v>
      </c>
      <c r="D46" s="236">
        <v>95</v>
      </c>
      <c r="E46" s="237"/>
      <c r="F46" s="237">
        <v>14</v>
      </c>
      <c r="G46" s="238">
        <f t="shared" si="1"/>
        <v>1330</v>
      </c>
    </row>
    <row r="47" spans="1:7">
      <c r="A47" s="215">
        <v>41</v>
      </c>
      <c r="B47" s="241" t="s">
        <v>247</v>
      </c>
      <c r="C47" s="236" t="s">
        <v>209</v>
      </c>
      <c r="D47" s="236">
        <v>20</v>
      </c>
      <c r="E47" s="237"/>
      <c r="F47" s="237">
        <v>4.8099999999999996</v>
      </c>
      <c r="G47" s="238">
        <f t="shared" si="1"/>
        <v>96.199999999999989</v>
      </c>
    </row>
    <row r="48" spans="1:7">
      <c r="A48" s="215">
        <v>42</v>
      </c>
      <c r="B48" s="216" t="s">
        <v>248</v>
      </c>
      <c r="C48" s="215" t="s">
        <v>213</v>
      </c>
      <c r="D48" s="215">
        <v>300</v>
      </c>
      <c r="E48" s="217"/>
      <c r="F48" s="217">
        <v>36.299999999999997</v>
      </c>
      <c r="G48" s="218">
        <f t="shared" si="1"/>
        <v>10890</v>
      </c>
    </row>
    <row r="49" spans="1:7">
      <c r="A49" s="215">
        <v>43</v>
      </c>
      <c r="B49" s="241" t="s">
        <v>249</v>
      </c>
      <c r="C49" s="236" t="s">
        <v>209</v>
      </c>
      <c r="D49" s="236">
        <v>18</v>
      </c>
      <c r="E49" s="237"/>
      <c r="F49" s="237">
        <v>4.88</v>
      </c>
      <c r="G49" s="238">
        <f t="shared" si="1"/>
        <v>87.84</v>
      </c>
    </row>
    <row r="50" spans="1:7">
      <c r="A50" s="215">
        <v>44</v>
      </c>
      <c r="B50" s="241" t="s">
        <v>250</v>
      </c>
      <c r="C50" s="236" t="s">
        <v>209</v>
      </c>
      <c r="D50" s="236">
        <v>24</v>
      </c>
      <c r="E50" s="237"/>
      <c r="F50" s="237">
        <v>6</v>
      </c>
      <c r="G50" s="238">
        <f t="shared" si="1"/>
        <v>144</v>
      </c>
    </row>
    <row r="51" spans="1:7">
      <c r="A51" s="215">
        <v>45</v>
      </c>
      <c r="B51" s="241" t="s">
        <v>251</v>
      </c>
      <c r="C51" s="236" t="s">
        <v>209</v>
      </c>
      <c r="D51" s="236">
        <v>342</v>
      </c>
      <c r="E51" s="237"/>
      <c r="F51" s="237">
        <v>3.28</v>
      </c>
      <c r="G51" s="238">
        <f t="shared" si="1"/>
        <v>1121.76</v>
      </c>
    </row>
    <row r="52" spans="1:7" ht="30">
      <c r="A52" s="215">
        <v>46</v>
      </c>
      <c r="B52" s="241" t="s">
        <v>252</v>
      </c>
      <c r="C52" s="236" t="s">
        <v>213</v>
      </c>
      <c r="D52" s="243">
        <v>1500</v>
      </c>
      <c r="E52" s="237"/>
      <c r="F52" s="237">
        <v>31.6</v>
      </c>
      <c r="G52" s="238">
        <f t="shared" si="1"/>
        <v>47400</v>
      </c>
    </row>
    <row r="53" spans="1:7" ht="30">
      <c r="A53" s="215">
        <v>47</v>
      </c>
      <c r="B53" s="241" t="s">
        <v>253</v>
      </c>
      <c r="C53" s="236" t="s">
        <v>213</v>
      </c>
      <c r="D53" s="243">
        <v>2465</v>
      </c>
      <c r="E53" s="237"/>
      <c r="F53" s="237">
        <v>9.83</v>
      </c>
      <c r="G53" s="238">
        <f t="shared" si="1"/>
        <v>24230.95</v>
      </c>
    </row>
    <row r="54" spans="1:7">
      <c r="A54" s="215">
        <v>48</v>
      </c>
      <c r="B54" s="241" t="s">
        <v>254</v>
      </c>
      <c r="C54" s="236" t="s">
        <v>209</v>
      </c>
      <c r="D54" s="236">
        <v>26</v>
      </c>
      <c r="E54" s="237"/>
      <c r="F54" s="237">
        <v>23</v>
      </c>
      <c r="G54" s="238">
        <f t="shared" si="1"/>
        <v>598</v>
      </c>
    </row>
    <row r="55" spans="1:7">
      <c r="A55" s="215">
        <v>49</v>
      </c>
      <c r="B55" s="241" t="s">
        <v>417</v>
      </c>
      <c r="C55" s="236" t="s">
        <v>213</v>
      </c>
      <c r="D55" s="244">
        <v>1200</v>
      </c>
      <c r="E55" s="237"/>
      <c r="F55" s="237">
        <v>7.35</v>
      </c>
      <c r="G55" s="238">
        <f t="shared" si="1"/>
        <v>8820</v>
      </c>
    </row>
    <row r="56" spans="1:7">
      <c r="A56" s="215">
        <v>50</v>
      </c>
      <c r="B56" s="235" t="s">
        <v>255</v>
      </c>
      <c r="C56" s="236" t="s">
        <v>209</v>
      </c>
      <c r="D56" s="236">
        <v>15</v>
      </c>
      <c r="E56" s="237"/>
      <c r="F56" s="237">
        <v>17.8</v>
      </c>
      <c r="G56" s="238">
        <f t="shared" si="1"/>
        <v>267</v>
      </c>
    </row>
    <row r="57" spans="1:7" ht="30">
      <c r="A57" s="215">
        <v>51</v>
      </c>
      <c r="B57" s="241" t="s">
        <v>256</v>
      </c>
      <c r="C57" s="236" t="s">
        <v>209</v>
      </c>
      <c r="D57" s="240">
        <v>50</v>
      </c>
      <c r="E57" s="237"/>
      <c r="F57" s="237">
        <v>3.68</v>
      </c>
      <c r="G57" s="238">
        <f t="shared" si="1"/>
        <v>184</v>
      </c>
    </row>
    <row r="58" spans="1:7">
      <c r="A58" s="215">
        <v>52</v>
      </c>
      <c r="B58" s="241" t="s">
        <v>257</v>
      </c>
      <c r="C58" s="236" t="s">
        <v>209</v>
      </c>
      <c r="D58" s="236">
        <v>80</v>
      </c>
      <c r="E58" s="237"/>
      <c r="F58" s="237">
        <v>20.399999999999999</v>
      </c>
      <c r="G58" s="238">
        <f t="shared" si="1"/>
        <v>1632</v>
      </c>
    </row>
    <row r="59" spans="1:7">
      <c r="A59" s="215">
        <v>53</v>
      </c>
      <c r="B59" s="235" t="s">
        <v>258</v>
      </c>
      <c r="C59" s="236" t="s">
        <v>209</v>
      </c>
      <c r="D59" s="236">
        <v>25</v>
      </c>
      <c r="E59" s="245"/>
      <c r="F59" s="245">
        <v>25.43</v>
      </c>
      <c r="G59" s="238">
        <f t="shared" si="1"/>
        <v>635.75</v>
      </c>
    </row>
    <row r="60" spans="1:7">
      <c r="A60" s="215">
        <v>54</v>
      </c>
      <c r="B60" s="241" t="s">
        <v>259</v>
      </c>
      <c r="C60" s="236" t="s">
        <v>209</v>
      </c>
      <c r="D60" s="236">
        <v>57</v>
      </c>
      <c r="E60" s="237"/>
      <c r="F60" s="237">
        <v>6.67</v>
      </c>
      <c r="G60" s="238">
        <f t="shared" si="1"/>
        <v>380.19</v>
      </c>
    </row>
    <row r="61" spans="1:7">
      <c r="A61" s="215">
        <v>55</v>
      </c>
      <c r="B61" s="241" t="s">
        <v>260</v>
      </c>
      <c r="C61" s="236" t="s">
        <v>209</v>
      </c>
      <c r="D61" s="236">
        <v>43</v>
      </c>
      <c r="E61" s="237"/>
      <c r="F61" s="237">
        <v>10.56</v>
      </c>
      <c r="G61" s="238">
        <f t="shared" si="1"/>
        <v>454.08000000000004</v>
      </c>
    </row>
    <row r="62" spans="1:7">
      <c r="A62" s="215">
        <v>56</v>
      </c>
      <c r="B62" s="241" t="s">
        <v>261</v>
      </c>
      <c r="C62" s="236" t="s">
        <v>209</v>
      </c>
      <c r="D62" s="236">
        <v>46</v>
      </c>
      <c r="E62" s="237"/>
      <c r="F62" s="237">
        <v>49</v>
      </c>
      <c r="G62" s="238">
        <f t="shared" si="1"/>
        <v>2254</v>
      </c>
    </row>
    <row r="63" spans="1:7">
      <c r="A63" s="215">
        <v>57</v>
      </c>
      <c r="B63" s="241" t="s">
        <v>262</v>
      </c>
      <c r="C63" s="236" t="s">
        <v>209</v>
      </c>
      <c r="D63" s="236">
        <v>40</v>
      </c>
      <c r="E63" s="237"/>
      <c r="F63" s="237">
        <v>9.93</v>
      </c>
      <c r="G63" s="238">
        <f t="shared" si="1"/>
        <v>397.2</v>
      </c>
    </row>
    <row r="64" spans="1:7">
      <c r="A64" s="215">
        <v>58</v>
      </c>
      <c r="B64" s="241" t="s">
        <v>263</v>
      </c>
      <c r="C64" s="236" t="s">
        <v>209</v>
      </c>
      <c r="D64" s="236">
        <v>60</v>
      </c>
      <c r="E64" s="237"/>
      <c r="F64" s="237">
        <v>6.9</v>
      </c>
      <c r="G64" s="238">
        <f t="shared" si="1"/>
        <v>414</v>
      </c>
    </row>
    <row r="65" spans="1:10">
      <c r="A65" s="215">
        <v>59</v>
      </c>
      <c r="B65" s="241" t="s">
        <v>264</v>
      </c>
      <c r="C65" s="236" t="s">
        <v>209</v>
      </c>
      <c r="D65" s="236">
        <v>300</v>
      </c>
      <c r="E65" s="237"/>
      <c r="F65" s="237">
        <v>8.3699999999999992</v>
      </c>
      <c r="G65" s="238">
        <f t="shared" si="1"/>
        <v>2510.9999999999995</v>
      </c>
    </row>
    <row r="66" spans="1:10">
      <c r="A66" s="215">
        <v>60</v>
      </c>
      <c r="B66" s="241" t="s">
        <v>265</v>
      </c>
      <c r="C66" s="236" t="s">
        <v>209</v>
      </c>
      <c r="D66" s="236">
        <v>346</v>
      </c>
      <c r="E66" s="237"/>
      <c r="F66" s="237">
        <v>12.7</v>
      </c>
      <c r="G66" s="238">
        <f t="shared" si="1"/>
        <v>4394.2</v>
      </c>
    </row>
    <row r="67" spans="1:10">
      <c r="A67" s="215">
        <v>62</v>
      </c>
      <c r="B67" s="241" t="s">
        <v>266</v>
      </c>
      <c r="C67" s="236" t="s">
        <v>267</v>
      </c>
      <c r="D67" s="240">
        <v>28</v>
      </c>
      <c r="E67" s="237"/>
      <c r="F67" s="237">
        <v>19.59</v>
      </c>
      <c r="G67" s="238">
        <f t="shared" si="1"/>
        <v>548.52</v>
      </c>
    </row>
    <row r="68" spans="1:10">
      <c r="A68" s="215">
        <v>63</v>
      </c>
      <c r="B68" s="241" t="s">
        <v>268</v>
      </c>
      <c r="C68" s="236" t="s">
        <v>267</v>
      </c>
      <c r="D68" s="236">
        <v>90</v>
      </c>
      <c r="E68" s="237"/>
      <c r="F68" s="237">
        <v>14</v>
      </c>
      <c r="G68" s="238">
        <f t="shared" si="1"/>
        <v>1260</v>
      </c>
    </row>
    <row r="69" spans="1:10">
      <c r="A69" s="215">
        <v>64</v>
      </c>
      <c r="B69" s="241" t="s">
        <v>269</v>
      </c>
      <c r="C69" s="236" t="s">
        <v>267</v>
      </c>
      <c r="D69" s="236">
        <v>80</v>
      </c>
      <c r="E69" s="237"/>
      <c r="F69" s="237">
        <v>11</v>
      </c>
      <c r="G69" s="238">
        <f t="shared" si="1"/>
        <v>880</v>
      </c>
    </row>
    <row r="70" spans="1:10">
      <c r="A70" s="215">
        <v>65</v>
      </c>
      <c r="B70" s="241" t="s">
        <v>270</v>
      </c>
      <c r="C70" s="236" t="s">
        <v>267</v>
      </c>
      <c r="D70" s="236">
        <v>144</v>
      </c>
      <c r="E70" s="237"/>
      <c r="F70" s="237">
        <v>7.94</v>
      </c>
      <c r="G70" s="238">
        <f t="shared" si="1"/>
        <v>1143.3600000000001</v>
      </c>
    </row>
    <row r="71" spans="1:10" ht="30">
      <c r="A71" s="215">
        <v>66</v>
      </c>
      <c r="B71" s="241" t="s">
        <v>271</v>
      </c>
      <c r="C71" s="236" t="s">
        <v>209</v>
      </c>
      <c r="D71" s="240">
        <v>50</v>
      </c>
      <c r="E71" s="245"/>
      <c r="F71" s="245">
        <v>35.47</v>
      </c>
      <c r="G71" s="238">
        <f t="shared" ref="G71:G80" si="2">D71*F71</f>
        <v>1773.5</v>
      </c>
    </row>
    <row r="72" spans="1:10" ht="30">
      <c r="A72" s="215">
        <v>67</v>
      </c>
      <c r="B72" s="242" t="s">
        <v>272</v>
      </c>
      <c r="C72" s="236" t="s">
        <v>267</v>
      </c>
      <c r="D72" s="240">
        <v>55</v>
      </c>
      <c r="E72" s="245"/>
      <c r="F72" s="245">
        <v>24.98</v>
      </c>
      <c r="G72" s="238">
        <f t="shared" si="2"/>
        <v>1373.9</v>
      </c>
    </row>
    <row r="73" spans="1:10">
      <c r="A73" s="215">
        <v>68</v>
      </c>
      <c r="B73" s="241" t="s">
        <v>273</v>
      </c>
      <c r="C73" s="236" t="s">
        <v>209</v>
      </c>
      <c r="D73" s="236">
        <v>100</v>
      </c>
      <c r="E73" s="237"/>
      <c r="F73" s="237">
        <v>3.08</v>
      </c>
      <c r="G73" s="238">
        <f t="shared" si="2"/>
        <v>308</v>
      </c>
    </row>
    <row r="74" spans="1:10">
      <c r="A74" s="215">
        <v>69</v>
      </c>
      <c r="B74" s="239" t="s">
        <v>274</v>
      </c>
      <c r="C74" s="236" t="s">
        <v>213</v>
      </c>
      <c r="D74" s="240">
        <v>6</v>
      </c>
      <c r="E74" s="237"/>
      <c r="F74" s="237">
        <v>6.55</v>
      </c>
      <c r="G74" s="238">
        <f t="shared" si="2"/>
        <v>39.299999999999997</v>
      </c>
      <c r="H74" s="224" t="e">
        <f>G74+G72+G71+G57+G55+G49+G47+G46+G45+#REF!+#REF!+G17+G16+G10+G9</f>
        <v>#REF!</v>
      </c>
    </row>
    <row r="75" spans="1:10">
      <c r="A75" s="215">
        <v>70</v>
      </c>
      <c r="B75" s="241" t="s">
        <v>275</v>
      </c>
      <c r="C75" s="236" t="s">
        <v>209</v>
      </c>
      <c r="D75" s="236">
        <v>50</v>
      </c>
      <c r="E75" s="237"/>
      <c r="F75" s="237">
        <v>8.5500000000000007</v>
      </c>
      <c r="G75" s="238">
        <f t="shared" si="2"/>
        <v>427.50000000000006</v>
      </c>
      <c r="H75" s="224" t="e">
        <f>H74/12</f>
        <v>#REF!</v>
      </c>
    </row>
    <row r="76" spans="1:10">
      <c r="A76" s="215">
        <v>71</v>
      </c>
      <c r="B76" s="241" t="s">
        <v>276</v>
      </c>
      <c r="C76" s="236" t="s">
        <v>209</v>
      </c>
      <c r="D76" s="236">
        <v>16</v>
      </c>
      <c r="E76" s="237"/>
      <c r="F76" s="237">
        <v>9.39</v>
      </c>
      <c r="G76" s="238">
        <f t="shared" si="2"/>
        <v>150.24</v>
      </c>
      <c r="H76" s="224" t="e">
        <f>H75/24</f>
        <v>#REF!</v>
      </c>
    </row>
    <row r="77" spans="1:10">
      <c r="A77" s="215">
        <v>72</v>
      </c>
      <c r="B77" s="241" t="s">
        <v>277</v>
      </c>
      <c r="C77" s="236" t="s">
        <v>209</v>
      </c>
      <c r="D77" s="236">
        <v>180</v>
      </c>
      <c r="E77" s="237"/>
      <c r="F77" s="237">
        <v>8.67</v>
      </c>
      <c r="G77" s="238">
        <f t="shared" si="2"/>
        <v>1560.6</v>
      </c>
      <c r="H77" s="224" t="e">
        <f>G83-H76</f>
        <v>#REF!</v>
      </c>
    </row>
    <row r="78" spans="1:10">
      <c r="A78" s="215">
        <v>74</v>
      </c>
      <c r="B78" s="241" t="s">
        <v>278</v>
      </c>
      <c r="C78" s="236" t="s">
        <v>209</v>
      </c>
      <c r="D78" s="236">
        <v>50</v>
      </c>
      <c r="E78" s="237"/>
      <c r="F78" s="237">
        <v>8</v>
      </c>
      <c r="G78" s="238">
        <f t="shared" si="2"/>
        <v>400</v>
      </c>
      <c r="J78" s="224"/>
    </row>
    <row r="79" spans="1:10">
      <c r="A79" s="215">
        <v>75</v>
      </c>
      <c r="B79" s="235" t="s">
        <v>279</v>
      </c>
      <c r="C79" s="236" t="s">
        <v>209</v>
      </c>
      <c r="D79" s="236">
        <v>50</v>
      </c>
      <c r="E79" s="237"/>
      <c r="F79" s="237">
        <v>12</v>
      </c>
      <c r="G79" s="238">
        <f t="shared" si="2"/>
        <v>600</v>
      </c>
    </row>
    <row r="80" spans="1:10">
      <c r="A80" s="215">
        <v>76</v>
      </c>
      <c r="B80" s="220" t="s">
        <v>280</v>
      </c>
      <c r="C80" s="215" t="s">
        <v>209</v>
      </c>
      <c r="D80" s="215">
        <v>50</v>
      </c>
      <c r="E80" s="222"/>
      <c r="F80" s="222">
        <v>19.55</v>
      </c>
      <c r="G80" s="218">
        <f t="shared" si="2"/>
        <v>977.5</v>
      </c>
    </row>
    <row r="81" spans="1:7">
      <c r="A81" s="225"/>
      <c r="B81" s="226" t="s">
        <v>281</v>
      </c>
      <c r="C81" s="227"/>
      <c r="D81" s="227"/>
      <c r="E81" s="228"/>
      <c r="F81" s="228"/>
      <c r="G81" s="229">
        <f>SUM(G7:G80)</f>
        <v>175809.66999999995</v>
      </c>
    </row>
    <row r="82" spans="1:7">
      <c r="A82" s="225"/>
      <c r="B82" s="226" t="s">
        <v>282</v>
      </c>
      <c r="C82" s="227"/>
      <c r="D82" s="227"/>
      <c r="E82" s="230"/>
      <c r="F82" s="227"/>
      <c r="G82" s="229">
        <f>G81/12</f>
        <v>14650.80583333333</v>
      </c>
    </row>
    <row r="83" spans="1:7">
      <c r="A83" s="225"/>
      <c r="B83" s="226" t="s">
        <v>283</v>
      </c>
      <c r="C83" s="227"/>
      <c r="D83" s="227"/>
      <c r="E83" s="227"/>
      <c r="F83" s="227"/>
      <c r="G83" s="229">
        <f>G82/24</f>
        <v>610.45024305555546</v>
      </c>
    </row>
    <row r="84" spans="1:7">
      <c r="B84" s="213" t="s">
        <v>284</v>
      </c>
    </row>
    <row r="86" spans="1:7">
      <c r="B86" s="213" t="str">
        <f>ASG!A297</f>
        <v>Manaus, 02 de DEZEMBRO de 2024</v>
      </c>
    </row>
    <row r="87" spans="1:7" ht="15.75">
      <c r="A87" s="231"/>
      <c r="B87" s="231"/>
      <c r="C87" s="231"/>
      <c r="D87" s="231"/>
      <c r="E87" s="231"/>
      <c r="F87" s="231"/>
      <c r="G87" s="231"/>
    </row>
    <row r="88" spans="1:7" ht="15.75">
      <c r="A88" s="231"/>
      <c r="B88" s="232"/>
      <c r="C88" s="232"/>
      <c r="D88" s="231"/>
      <c r="E88" s="231"/>
      <c r="F88" s="231"/>
    </row>
    <row r="89" spans="1:7" ht="15.75">
      <c r="A89" s="231"/>
      <c r="B89" s="232"/>
      <c r="C89" s="232"/>
      <c r="D89" s="231"/>
      <c r="E89" s="231"/>
      <c r="F89" s="231"/>
    </row>
    <row r="90" spans="1:7" ht="15.75">
      <c r="A90" s="231"/>
      <c r="B90" s="233"/>
      <c r="C90" s="233"/>
      <c r="D90" s="231"/>
      <c r="E90" s="231"/>
      <c r="F90" s="231"/>
    </row>
    <row r="91" spans="1:7" ht="15.75">
      <c r="A91" s="231"/>
      <c r="B91" s="232"/>
      <c r="C91" s="232"/>
      <c r="D91" s="231"/>
      <c r="E91" s="231"/>
      <c r="F91" s="231"/>
    </row>
    <row r="92" spans="1:7" ht="15.75">
      <c r="A92" s="231"/>
      <c r="B92" s="234"/>
      <c r="C92" s="234"/>
      <c r="D92" s="234"/>
      <c r="E92" s="231"/>
      <c r="F92" s="231"/>
    </row>
  </sheetData>
  <mergeCells count="8">
    <mergeCell ref="A1:G2"/>
    <mergeCell ref="A3:G4"/>
    <mergeCell ref="A5:A6"/>
    <mergeCell ref="B5:B6"/>
    <mergeCell ref="C5:C6"/>
    <mergeCell ref="D5:D6"/>
    <mergeCell ref="E5:E6"/>
    <mergeCell ref="F5:G5"/>
  </mergeCells>
  <pageMargins left="0.511811024" right="0.511811024" top="0.78740157499999996" bottom="0.78740157499999996" header="0.31496062000000002" footer="0.31496062000000002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139"/>
  <sheetViews>
    <sheetView view="pageBreakPreview" topLeftCell="A97" zoomScale="80" zoomScaleNormal="100" zoomScaleSheetLayoutView="80" workbookViewId="0">
      <selection activeCell="O125" sqref="O125"/>
    </sheetView>
  </sheetViews>
  <sheetFormatPr defaultColWidth="9.140625" defaultRowHeight="15"/>
  <cols>
    <col min="1" max="1" width="3.7109375" style="2" customWidth="1"/>
    <col min="2" max="2" width="14.85546875" style="2" hidden="1" customWidth="1"/>
    <col min="3" max="4" width="18.85546875" style="2" hidden="1" customWidth="1"/>
    <col min="5" max="5" width="18.5703125" style="2" hidden="1" customWidth="1"/>
    <col min="6" max="6" width="16.85546875" style="2" hidden="1" customWidth="1"/>
    <col min="7" max="7" width="15.5703125" style="2" hidden="1" customWidth="1"/>
    <col min="8" max="8" width="16.140625" style="2" hidden="1" customWidth="1"/>
    <col min="9" max="9" width="12" style="2" customWidth="1"/>
    <col min="10" max="11" width="16.140625" style="2" customWidth="1"/>
    <col min="12" max="12" width="19.85546875" style="2" bestFit="1" customWidth="1"/>
    <col min="13" max="13" width="18.5703125" style="2" bestFit="1" customWidth="1"/>
    <col min="14" max="14" width="16.140625" style="2" customWidth="1"/>
    <col min="15" max="15" width="22.7109375" style="2" customWidth="1"/>
    <col min="16" max="16" width="15.85546875" style="2" customWidth="1"/>
    <col min="17" max="17" width="14.85546875" style="2" hidden="1" customWidth="1"/>
    <col min="18" max="18" width="16.85546875" style="2" hidden="1" customWidth="1"/>
    <col min="19" max="19" width="15.42578125" style="2" hidden="1" customWidth="1"/>
    <col min="20" max="20" width="23.140625" style="2" hidden="1" customWidth="1"/>
    <col min="21" max="21" width="16.85546875" style="2" hidden="1" customWidth="1"/>
    <col min="22" max="22" width="17.28515625" style="2" hidden="1" customWidth="1"/>
    <col min="23" max="23" width="16.140625" style="2" hidden="1" customWidth="1"/>
    <col min="24" max="24" width="13.85546875" style="2" customWidth="1"/>
    <col min="25" max="25" width="15.7109375" style="2" customWidth="1"/>
    <col min="26" max="26" width="13.28515625" style="2" customWidth="1"/>
    <col min="27" max="27" width="13.7109375" style="2" customWidth="1"/>
    <col min="28" max="16384" width="9.140625" style="2"/>
  </cols>
  <sheetData>
    <row r="1" spans="2:24" ht="25.5" customHeight="1">
      <c r="J1" s="353" t="s">
        <v>285</v>
      </c>
      <c r="K1" s="353"/>
      <c r="L1" s="353"/>
      <c r="M1" s="353"/>
      <c r="N1" s="353"/>
    </row>
    <row r="2" spans="2:24">
      <c r="C2" s="346" t="s">
        <v>286</v>
      </c>
      <c r="D2" s="347"/>
      <c r="E2" s="347"/>
      <c r="F2" s="348"/>
      <c r="J2" s="352" t="s">
        <v>287</v>
      </c>
      <c r="K2" s="352"/>
      <c r="L2" s="352"/>
      <c r="M2" s="352"/>
      <c r="N2" s="352"/>
      <c r="R2" s="346" t="s">
        <v>288</v>
      </c>
      <c r="S2" s="347"/>
      <c r="T2" s="347"/>
      <c r="U2" s="348"/>
    </row>
    <row r="3" spans="2:24">
      <c r="C3" s="349"/>
      <c r="D3" s="350"/>
      <c r="E3" s="350"/>
      <c r="F3" s="351"/>
      <c r="J3" s="352"/>
      <c r="K3" s="352"/>
      <c r="L3" s="352"/>
      <c r="M3" s="352"/>
      <c r="N3" s="352"/>
      <c r="R3" s="349"/>
      <c r="S3" s="350"/>
      <c r="T3" s="350"/>
      <c r="U3" s="351"/>
    </row>
    <row r="4" spans="2:24" ht="18" customHeight="1">
      <c r="C4" s="352" t="s">
        <v>289</v>
      </c>
      <c r="D4" s="352"/>
      <c r="E4" s="352"/>
      <c r="F4" s="352"/>
      <c r="J4" s="352" t="s">
        <v>290</v>
      </c>
      <c r="K4" s="352"/>
      <c r="L4" s="352"/>
      <c r="M4" s="352"/>
      <c r="N4" s="352"/>
      <c r="R4" s="352" t="s">
        <v>291</v>
      </c>
      <c r="S4" s="352"/>
      <c r="T4" s="352"/>
      <c r="U4" s="352"/>
    </row>
    <row r="5" spans="2:24" ht="18" customHeight="1">
      <c r="C5" s="36" t="s">
        <v>292</v>
      </c>
      <c r="D5" s="318" t="s">
        <v>293</v>
      </c>
      <c r="E5" s="319"/>
      <c r="F5" s="320"/>
      <c r="J5" s="321" t="s">
        <v>292</v>
      </c>
      <c r="K5" s="321"/>
      <c r="L5" s="318" t="s">
        <v>294</v>
      </c>
      <c r="M5" s="319"/>
      <c r="N5" s="320"/>
      <c r="R5" s="36" t="s">
        <v>292</v>
      </c>
      <c r="S5" s="318" t="s">
        <v>293</v>
      </c>
      <c r="T5" s="319"/>
      <c r="U5" s="320"/>
    </row>
    <row r="6" spans="2:24" ht="47.25">
      <c r="B6" s="2">
        <v>1</v>
      </c>
      <c r="C6" s="6" t="s">
        <v>295</v>
      </c>
      <c r="D6" s="39" t="s">
        <v>296</v>
      </c>
      <c r="E6" s="6" t="s">
        <v>297</v>
      </c>
      <c r="F6" s="6" t="s">
        <v>298</v>
      </c>
      <c r="J6" s="6" t="s">
        <v>299</v>
      </c>
      <c r="K6" s="6" t="s">
        <v>295</v>
      </c>
      <c r="L6" s="39" t="s">
        <v>296</v>
      </c>
      <c r="M6" s="6" t="s">
        <v>297</v>
      </c>
      <c r="N6" s="6" t="s">
        <v>298</v>
      </c>
      <c r="R6" s="6" t="s">
        <v>295</v>
      </c>
      <c r="S6" s="39" t="s">
        <v>296</v>
      </c>
      <c r="T6" s="6" t="s">
        <v>297</v>
      </c>
      <c r="U6" s="6" t="s">
        <v>298</v>
      </c>
    </row>
    <row r="7" spans="2:24" ht="18" customHeight="1">
      <c r="C7" s="7" t="s">
        <v>193</v>
      </c>
      <c r="D7" s="3" t="s">
        <v>300</v>
      </c>
      <c r="E7" s="5">
        <v>3189.8</v>
      </c>
      <c r="F7" s="1">
        <f>1/(30*600)*E7</f>
        <v>0.17721111111111112</v>
      </c>
      <c r="J7" s="313" t="s">
        <v>301</v>
      </c>
      <c r="K7" s="7" t="s">
        <v>193</v>
      </c>
      <c r="L7" s="3" t="s">
        <v>421</v>
      </c>
      <c r="M7" s="1">
        <f>Encarregado!B291</f>
        <v>6802.6101961467903</v>
      </c>
      <c r="N7" s="1">
        <f>1/(28*800)*M7</f>
        <v>0.30368795518512459</v>
      </c>
      <c r="R7" s="7" t="s">
        <v>193</v>
      </c>
      <c r="S7" s="3" t="s">
        <v>300</v>
      </c>
      <c r="T7" s="8">
        <v>3123.76</v>
      </c>
      <c r="U7" s="9">
        <f>1/(30*600)*T7</f>
        <v>0.17354222222222224</v>
      </c>
      <c r="X7" s="2">
        <f>1/800</f>
        <v>1.25E-3</v>
      </c>
    </row>
    <row r="8" spans="2:24" ht="18" customHeight="1">
      <c r="C8" s="10" t="s">
        <v>302</v>
      </c>
      <c r="D8" s="4" t="s">
        <v>303</v>
      </c>
      <c r="E8" s="2">
        <v>2588.58</v>
      </c>
      <c r="F8" s="1">
        <f>(1/600)*E8</f>
        <v>4.3143000000000002</v>
      </c>
      <c r="J8" s="314"/>
      <c r="K8" s="7" t="s">
        <v>302</v>
      </c>
      <c r="L8" s="139" t="s">
        <v>304</v>
      </c>
      <c r="M8" s="19">
        <f>ASG!B295</f>
        <v>5289.3151827351585</v>
      </c>
      <c r="N8" s="1">
        <f>(1/800)*M8</f>
        <v>6.6116439784189485</v>
      </c>
      <c r="R8" s="10" t="s">
        <v>302</v>
      </c>
      <c r="S8" s="4" t="s">
        <v>303</v>
      </c>
      <c r="T8" s="2">
        <v>2712.22</v>
      </c>
      <c r="U8" s="9">
        <f>(1/600)*T8</f>
        <v>4.5203666666666669</v>
      </c>
    </row>
    <row r="9" spans="2:24" ht="18" customHeight="1">
      <c r="C9" s="318" t="s">
        <v>305</v>
      </c>
      <c r="D9" s="319"/>
      <c r="E9" s="320"/>
      <c r="F9" s="26">
        <f>SUM(F7:F8)</f>
        <v>4.4915111111111115</v>
      </c>
      <c r="G9" s="12"/>
      <c r="H9" s="12"/>
      <c r="I9" s="12"/>
      <c r="J9" s="321" t="s">
        <v>305</v>
      </c>
      <c r="K9" s="321"/>
      <c r="L9" s="321"/>
      <c r="M9" s="321"/>
      <c r="N9" s="26">
        <f>SUM(N7:N8)</f>
        <v>6.9153319336040733</v>
      </c>
      <c r="O9" s="12"/>
      <c r="P9" s="12"/>
      <c r="R9" s="318" t="s">
        <v>305</v>
      </c>
      <c r="S9" s="319"/>
      <c r="T9" s="320"/>
      <c r="U9" s="11">
        <f>SUM(U7:U8)</f>
        <v>4.6939088888888891</v>
      </c>
    </row>
    <row r="10" spans="2:24" ht="18" customHeight="1">
      <c r="C10" s="27"/>
      <c r="D10" s="27"/>
      <c r="E10" s="27"/>
      <c r="F10" s="138"/>
      <c r="G10" s="12"/>
      <c r="H10" s="12"/>
      <c r="I10" s="12"/>
      <c r="O10" s="12"/>
      <c r="P10" s="12"/>
      <c r="R10" s="27"/>
      <c r="S10" s="27"/>
      <c r="T10" s="27"/>
      <c r="U10" s="28"/>
    </row>
    <row r="11" spans="2:24">
      <c r="C11" s="27"/>
      <c r="D11" s="27"/>
      <c r="E11" s="27"/>
      <c r="F11" s="138"/>
      <c r="G11" s="12"/>
      <c r="H11" s="12"/>
      <c r="J11" s="321" t="s">
        <v>292</v>
      </c>
      <c r="K11" s="321"/>
      <c r="L11" s="318" t="s">
        <v>306</v>
      </c>
      <c r="M11" s="319"/>
      <c r="N11" s="320"/>
      <c r="O11" s="12"/>
      <c r="P11" s="12"/>
      <c r="R11" s="27"/>
      <c r="S11" s="27"/>
      <c r="T11" s="27"/>
      <c r="U11" s="28"/>
    </row>
    <row r="12" spans="2:24" ht="28.9" customHeight="1">
      <c r="C12" s="27"/>
      <c r="D12" s="27"/>
      <c r="E12" s="27"/>
      <c r="F12" s="138"/>
      <c r="G12" s="12"/>
      <c r="H12" s="12"/>
      <c r="I12" s="12"/>
      <c r="J12" s="6" t="s">
        <v>299</v>
      </c>
      <c r="K12" s="6" t="s">
        <v>295</v>
      </c>
      <c r="L12" s="39" t="s">
        <v>296</v>
      </c>
      <c r="M12" s="6" t="s">
        <v>297</v>
      </c>
      <c r="N12" s="6" t="s">
        <v>298</v>
      </c>
      <c r="O12" s="12"/>
      <c r="P12" s="12"/>
      <c r="R12" s="27"/>
      <c r="S12" s="27"/>
      <c r="T12" s="27"/>
      <c r="U12" s="28"/>
    </row>
    <row r="13" spans="2:24" ht="18" customHeight="1">
      <c r="C13" s="27"/>
      <c r="D13" s="27"/>
      <c r="E13" s="27"/>
      <c r="F13" s="138"/>
      <c r="G13" s="12"/>
      <c r="H13" s="12"/>
      <c r="I13" s="12"/>
      <c r="J13" s="313" t="s">
        <v>301</v>
      </c>
      <c r="K13" s="7" t="s">
        <v>193</v>
      </c>
      <c r="L13" s="3" t="s">
        <v>421</v>
      </c>
      <c r="M13" s="1">
        <f>Encarregado!B291</f>
        <v>6802.6101961467903</v>
      </c>
      <c r="N13" s="1">
        <f>1/(28*800)*M13</f>
        <v>0.30368795518512459</v>
      </c>
      <c r="O13" s="12"/>
      <c r="P13" s="35"/>
      <c r="R13" s="27"/>
      <c r="S13" s="27"/>
      <c r="T13" s="27"/>
      <c r="U13" s="28"/>
    </row>
    <row r="14" spans="2:24" ht="18" customHeight="1">
      <c r="C14" s="27"/>
      <c r="D14" s="27"/>
      <c r="E14" s="27"/>
      <c r="F14" s="138"/>
      <c r="G14" s="12"/>
      <c r="H14" s="12"/>
      <c r="I14" s="12"/>
      <c r="J14" s="314"/>
      <c r="K14" s="10" t="s">
        <v>302</v>
      </c>
      <c r="L14" s="4" t="s">
        <v>304</v>
      </c>
      <c r="M14" s="19">
        <f>ASG!B295</f>
        <v>5289.3151827351585</v>
      </c>
      <c r="N14" s="1">
        <f>(1/800)*M14</f>
        <v>6.6116439784189485</v>
      </c>
      <c r="O14" s="12"/>
      <c r="P14" s="12"/>
      <c r="R14" s="27"/>
      <c r="S14" s="27"/>
      <c r="T14" s="27"/>
      <c r="U14" s="28"/>
    </row>
    <row r="15" spans="2:24" ht="18" customHeight="1">
      <c r="C15" s="27"/>
      <c r="D15" s="27"/>
      <c r="E15" s="27"/>
      <c r="F15" s="138"/>
      <c r="G15" s="12"/>
      <c r="H15" s="12"/>
      <c r="I15" s="12"/>
      <c r="J15" s="321" t="s">
        <v>305</v>
      </c>
      <c r="K15" s="321"/>
      <c r="L15" s="321"/>
      <c r="M15" s="321"/>
      <c r="N15" s="26">
        <f>SUM(N13:N14)</f>
        <v>6.9153319336040733</v>
      </c>
      <c r="O15" s="12"/>
      <c r="P15" s="12"/>
      <c r="R15" s="27"/>
      <c r="S15" s="27"/>
      <c r="T15" s="27"/>
      <c r="U15" s="28"/>
    </row>
    <row r="17" spans="2:21" ht="18" customHeight="1">
      <c r="C17" s="36" t="s">
        <v>292</v>
      </c>
      <c r="D17" s="318" t="s">
        <v>307</v>
      </c>
      <c r="E17" s="319"/>
      <c r="F17" s="320"/>
      <c r="J17" s="321" t="s">
        <v>292</v>
      </c>
      <c r="K17" s="321"/>
      <c r="L17" s="318" t="s">
        <v>307</v>
      </c>
      <c r="M17" s="319"/>
      <c r="N17" s="320"/>
      <c r="R17" s="36" t="s">
        <v>292</v>
      </c>
      <c r="S17" s="318" t="s">
        <v>307</v>
      </c>
      <c r="T17" s="319"/>
      <c r="U17" s="320"/>
    </row>
    <row r="18" spans="2:21" ht="47.25">
      <c r="B18" s="2">
        <v>2</v>
      </c>
      <c r="C18" s="6" t="s">
        <v>295</v>
      </c>
      <c r="D18" s="39" t="s">
        <v>296</v>
      </c>
      <c r="E18" s="6" t="s">
        <v>297</v>
      </c>
      <c r="F18" s="6" t="s">
        <v>298</v>
      </c>
      <c r="J18" s="6" t="s">
        <v>299</v>
      </c>
      <c r="K18" s="6" t="s">
        <v>295</v>
      </c>
      <c r="L18" s="39" t="s">
        <v>296</v>
      </c>
      <c r="M18" s="6" t="s">
        <v>297</v>
      </c>
      <c r="N18" s="6" t="s">
        <v>298</v>
      </c>
      <c r="R18" s="6" t="s">
        <v>295</v>
      </c>
      <c r="S18" s="39" t="s">
        <v>296</v>
      </c>
      <c r="T18" s="6" t="s">
        <v>297</v>
      </c>
      <c r="U18" s="6" t="s">
        <v>298</v>
      </c>
    </row>
    <row r="19" spans="2:21" ht="18" customHeight="1">
      <c r="C19" s="7" t="s">
        <v>193</v>
      </c>
      <c r="D19" s="3" t="s">
        <v>308</v>
      </c>
      <c r="E19" s="8">
        <f>E7</f>
        <v>3189.8</v>
      </c>
      <c r="F19" s="1">
        <f>1/(30*600)*E19</f>
        <v>0.17721111111111112</v>
      </c>
      <c r="J19" s="313" t="s">
        <v>309</v>
      </c>
      <c r="K19" s="7" t="s">
        <v>193</v>
      </c>
      <c r="L19" s="3" t="s">
        <v>422</v>
      </c>
      <c r="M19" s="8">
        <f>Encarregado!B291</f>
        <v>6802.6101961467903</v>
      </c>
      <c r="N19" s="1">
        <f>1/(28*360)*M19</f>
        <v>0.67486212263361012</v>
      </c>
      <c r="R19" s="7" t="s">
        <v>193</v>
      </c>
      <c r="S19" s="3" t="s">
        <v>310</v>
      </c>
      <c r="T19" s="8">
        <f>T7</f>
        <v>3123.76</v>
      </c>
      <c r="U19" s="9">
        <f>1/(30*330)*T19</f>
        <v>0.31553131313131316</v>
      </c>
    </row>
    <row r="20" spans="2:21" ht="18" customHeight="1">
      <c r="C20" s="10" t="s">
        <v>302</v>
      </c>
      <c r="D20" s="4" t="s">
        <v>303</v>
      </c>
      <c r="E20" s="2">
        <f>E8</f>
        <v>2588.58</v>
      </c>
      <c r="F20" s="1">
        <f>(1/600)*E20</f>
        <v>4.3143000000000002</v>
      </c>
      <c r="J20" s="314"/>
      <c r="K20" s="10" t="s">
        <v>302</v>
      </c>
      <c r="L20" s="4" t="s">
        <v>311</v>
      </c>
      <c r="M20" s="19">
        <f>ASG!B295</f>
        <v>5289.3151827351585</v>
      </c>
      <c r="N20" s="1">
        <f>(1/360)*M20</f>
        <v>14.692542174264331</v>
      </c>
      <c r="R20" s="10" t="s">
        <v>302</v>
      </c>
      <c r="S20" s="4" t="s">
        <v>312</v>
      </c>
      <c r="T20" s="8">
        <f>T8</f>
        <v>2712.22</v>
      </c>
      <c r="U20" s="9">
        <f>(1/330)*T20</f>
        <v>8.2188484848484844</v>
      </c>
    </row>
    <row r="21" spans="2:21" ht="18" customHeight="1">
      <c r="C21" s="318" t="s">
        <v>305</v>
      </c>
      <c r="D21" s="319"/>
      <c r="E21" s="320"/>
      <c r="F21" s="26">
        <f>SUM(F19:F20)</f>
        <v>4.4915111111111115</v>
      </c>
      <c r="J21" s="321" t="s">
        <v>305</v>
      </c>
      <c r="K21" s="321"/>
      <c r="L21" s="321"/>
      <c r="M21" s="321"/>
      <c r="N21" s="26">
        <f>SUM(N19:N20)</f>
        <v>15.367404296897941</v>
      </c>
      <c r="R21" s="318" t="s">
        <v>305</v>
      </c>
      <c r="S21" s="319"/>
      <c r="T21" s="320"/>
      <c r="U21" s="11">
        <f>SUM(U19:U20)</f>
        <v>8.5343797979797973</v>
      </c>
    </row>
    <row r="22" spans="2:21" ht="18" customHeight="1">
      <c r="C22" s="27"/>
      <c r="D22" s="27"/>
      <c r="E22" s="27"/>
      <c r="F22" s="138"/>
      <c r="R22" s="27"/>
      <c r="S22" s="27"/>
      <c r="T22" s="27"/>
      <c r="U22" s="28"/>
    </row>
    <row r="23" spans="2:21" ht="18" customHeight="1">
      <c r="C23" s="27"/>
      <c r="D23" s="27"/>
      <c r="E23" s="27"/>
      <c r="F23" s="138"/>
      <c r="J23" s="321" t="s">
        <v>292</v>
      </c>
      <c r="K23" s="321"/>
      <c r="L23" s="318" t="s">
        <v>313</v>
      </c>
      <c r="M23" s="319"/>
      <c r="N23" s="320"/>
      <c r="R23" s="27"/>
      <c r="S23" s="27"/>
      <c r="T23" s="27"/>
      <c r="U23" s="28"/>
    </row>
    <row r="24" spans="2:21" ht="32.25">
      <c r="C24" s="27"/>
      <c r="D24" s="27"/>
      <c r="E24" s="27"/>
      <c r="F24" s="138"/>
      <c r="J24" s="6" t="s">
        <v>299</v>
      </c>
      <c r="K24" s="6" t="s">
        <v>295</v>
      </c>
      <c r="L24" s="39" t="s">
        <v>296</v>
      </c>
      <c r="M24" s="6" t="s">
        <v>297</v>
      </c>
      <c r="N24" s="6" t="s">
        <v>298</v>
      </c>
      <c r="R24" s="27"/>
      <c r="S24" s="27"/>
      <c r="T24" s="27"/>
      <c r="U24" s="28"/>
    </row>
    <row r="25" spans="2:21" ht="18" customHeight="1">
      <c r="C25" s="27"/>
      <c r="D25" s="27"/>
      <c r="E25" s="27"/>
      <c r="F25" s="138"/>
      <c r="J25" s="313" t="s">
        <v>309</v>
      </c>
      <c r="K25" s="7" t="s">
        <v>193</v>
      </c>
      <c r="L25" s="3" t="s">
        <v>422</v>
      </c>
      <c r="M25" s="8">
        <f>Encarregado!B291</f>
        <v>6802.6101961467903</v>
      </c>
      <c r="N25" s="1">
        <f>1/(28*360)*M25</f>
        <v>0.67486212263361012</v>
      </c>
      <c r="R25" s="27"/>
      <c r="S25" s="27"/>
      <c r="T25" s="27"/>
      <c r="U25" s="28"/>
    </row>
    <row r="26" spans="2:21" ht="18" customHeight="1">
      <c r="C26" s="27"/>
      <c r="D26" s="27"/>
      <c r="E26" s="27"/>
      <c r="F26" s="138"/>
      <c r="J26" s="314"/>
      <c r="K26" s="10" t="s">
        <v>302</v>
      </c>
      <c r="L26" s="4" t="s">
        <v>311</v>
      </c>
      <c r="M26" s="19">
        <f>'ASG Insal 40%'!B294</f>
        <v>6682.2386184524767</v>
      </c>
      <c r="N26" s="1">
        <f>(1/360)*M26</f>
        <v>18.56177394014577</v>
      </c>
      <c r="R26" s="27"/>
      <c r="S26" s="27"/>
      <c r="T26" s="27"/>
      <c r="U26" s="28"/>
    </row>
    <row r="27" spans="2:21" ht="18" customHeight="1">
      <c r="C27" s="27"/>
      <c r="D27" s="27"/>
      <c r="E27" s="27"/>
      <c r="F27" s="138"/>
      <c r="J27" s="321" t="s">
        <v>305</v>
      </c>
      <c r="K27" s="321"/>
      <c r="L27" s="321"/>
      <c r="M27" s="321"/>
      <c r="N27" s="26">
        <f>SUM(N25:N26)</f>
        <v>19.236636062779379</v>
      </c>
      <c r="R27" s="27"/>
      <c r="S27" s="27"/>
      <c r="T27" s="27"/>
      <c r="U27" s="28"/>
    </row>
    <row r="28" spans="2:21" ht="18" customHeight="1">
      <c r="C28" s="27"/>
      <c r="D28" s="27"/>
      <c r="E28" s="27"/>
      <c r="F28" s="138"/>
      <c r="R28" s="27"/>
      <c r="S28" s="27"/>
      <c r="T28" s="27"/>
      <c r="U28" s="28"/>
    </row>
    <row r="30" spans="2:21" ht="18" customHeight="1">
      <c r="C30" s="36" t="s">
        <v>292</v>
      </c>
      <c r="D30" s="318" t="s">
        <v>314</v>
      </c>
      <c r="E30" s="319"/>
      <c r="F30" s="320"/>
      <c r="J30" s="321" t="s">
        <v>292</v>
      </c>
      <c r="K30" s="321"/>
      <c r="L30" s="318" t="s">
        <v>314</v>
      </c>
      <c r="M30" s="319"/>
      <c r="N30" s="320"/>
      <c r="R30" s="36" t="s">
        <v>292</v>
      </c>
      <c r="S30" s="318" t="s">
        <v>314</v>
      </c>
      <c r="T30" s="319"/>
      <c r="U30" s="320"/>
    </row>
    <row r="31" spans="2:21" ht="47.25">
      <c r="B31" s="2">
        <v>3</v>
      </c>
      <c r="C31" s="6" t="s">
        <v>295</v>
      </c>
      <c r="D31" s="39" t="s">
        <v>296</v>
      </c>
      <c r="E31" s="6" t="s">
        <v>297</v>
      </c>
      <c r="F31" s="6" t="s">
        <v>298</v>
      </c>
      <c r="J31" s="6" t="s">
        <v>299</v>
      </c>
      <c r="K31" s="6" t="s">
        <v>295</v>
      </c>
      <c r="L31" s="39" t="s">
        <v>296</v>
      </c>
      <c r="M31" s="6" t="s">
        <v>297</v>
      </c>
      <c r="N31" s="6" t="s">
        <v>298</v>
      </c>
      <c r="R31" s="6" t="s">
        <v>295</v>
      </c>
      <c r="S31" s="39" t="s">
        <v>296</v>
      </c>
      <c r="T31" s="6" t="s">
        <v>297</v>
      </c>
      <c r="U31" s="6" t="s">
        <v>298</v>
      </c>
    </row>
    <row r="32" spans="2:21" ht="18" customHeight="1">
      <c r="C32" s="7" t="s">
        <v>193</v>
      </c>
      <c r="D32" s="3" t="s">
        <v>300</v>
      </c>
      <c r="E32" s="8">
        <f>E19</f>
        <v>3189.8</v>
      </c>
      <c r="F32" s="1">
        <f>1/(30*600)*E32</f>
        <v>0.17721111111111112</v>
      </c>
      <c r="J32" s="313" t="s">
        <v>315</v>
      </c>
      <c r="K32" s="7" t="s">
        <v>193</v>
      </c>
      <c r="L32" s="3" t="s">
        <v>423</v>
      </c>
      <c r="M32" s="8">
        <f>Encarregado!B291</f>
        <v>6802.6101961467903</v>
      </c>
      <c r="N32" s="1">
        <f>1/(28*1500)*M32</f>
        <v>0.16196690943206643</v>
      </c>
      <c r="R32" s="7" t="s">
        <v>193</v>
      </c>
      <c r="S32" s="3" t="s">
        <v>316</v>
      </c>
      <c r="T32" s="8">
        <f>T19</f>
        <v>3123.76</v>
      </c>
      <c r="U32" s="9">
        <f>1/(30*1350)*T32</f>
        <v>7.712987654320988E-2</v>
      </c>
    </row>
    <row r="33" spans="2:21" ht="18" customHeight="1">
      <c r="C33" s="10" t="s">
        <v>302</v>
      </c>
      <c r="D33" s="4" t="s">
        <v>303</v>
      </c>
      <c r="E33" s="2">
        <f>E20</f>
        <v>2588.58</v>
      </c>
      <c r="F33" s="1">
        <f>(1/600)*E33</f>
        <v>4.3143000000000002</v>
      </c>
      <c r="J33" s="314"/>
      <c r="K33" s="10" t="s">
        <v>302</v>
      </c>
      <c r="L33" s="4" t="s">
        <v>317</v>
      </c>
      <c r="M33" s="19">
        <f>ASG!B295</f>
        <v>5289.3151827351585</v>
      </c>
      <c r="N33" s="1">
        <f>(1/1500)*M33</f>
        <v>3.5262101218234387</v>
      </c>
      <c r="R33" s="10" t="s">
        <v>302</v>
      </c>
      <c r="S33" s="4" t="s">
        <v>318</v>
      </c>
      <c r="T33" s="8">
        <f>T20</f>
        <v>2712.22</v>
      </c>
      <c r="U33" s="9">
        <f>(1/1350)*T33</f>
        <v>2.0090518518518516</v>
      </c>
    </row>
    <row r="34" spans="2:21" ht="18" customHeight="1">
      <c r="C34" s="318" t="s">
        <v>305</v>
      </c>
      <c r="D34" s="319"/>
      <c r="E34" s="320"/>
      <c r="F34" s="26">
        <f>SUM(F32:F33)</f>
        <v>4.4915111111111115</v>
      </c>
      <c r="J34" s="321" t="s">
        <v>305</v>
      </c>
      <c r="K34" s="321"/>
      <c r="L34" s="321"/>
      <c r="M34" s="321"/>
      <c r="N34" s="26">
        <f>SUM(N32:N33)</f>
        <v>3.6881770312555053</v>
      </c>
      <c r="R34" s="318" t="s">
        <v>305</v>
      </c>
      <c r="S34" s="319"/>
      <c r="T34" s="320"/>
      <c r="U34" s="11">
        <f>SUM(U32:U33)</f>
        <v>2.0861817283950614</v>
      </c>
    </row>
    <row r="36" spans="2:21" ht="18" customHeight="1">
      <c r="C36" s="36" t="s">
        <v>292</v>
      </c>
      <c r="D36" s="318" t="s">
        <v>319</v>
      </c>
      <c r="E36" s="319"/>
      <c r="F36" s="320"/>
      <c r="J36" s="321" t="s">
        <v>292</v>
      </c>
      <c r="K36" s="321"/>
      <c r="L36" s="318" t="s">
        <v>319</v>
      </c>
      <c r="M36" s="319"/>
      <c r="N36" s="320"/>
      <c r="R36" s="36" t="s">
        <v>292</v>
      </c>
      <c r="S36" s="318" t="s">
        <v>319</v>
      </c>
      <c r="T36" s="319"/>
      <c r="U36" s="320"/>
    </row>
    <row r="37" spans="2:21" ht="47.25">
      <c r="B37" s="2">
        <v>4</v>
      </c>
      <c r="C37" s="6" t="s">
        <v>295</v>
      </c>
      <c r="D37" s="39" t="s">
        <v>296</v>
      </c>
      <c r="E37" s="6" t="s">
        <v>297</v>
      </c>
      <c r="F37" s="6" t="s">
        <v>298</v>
      </c>
      <c r="J37" s="6" t="s">
        <v>299</v>
      </c>
      <c r="K37" s="6" t="s">
        <v>295</v>
      </c>
      <c r="L37" s="39" t="s">
        <v>296</v>
      </c>
      <c r="M37" s="6" t="s">
        <v>297</v>
      </c>
      <c r="N37" s="6" t="s">
        <v>298</v>
      </c>
      <c r="R37" s="6" t="s">
        <v>295</v>
      </c>
      <c r="S37" s="39" t="s">
        <v>296</v>
      </c>
      <c r="T37" s="6" t="s">
        <v>297</v>
      </c>
      <c r="U37" s="6" t="s">
        <v>298</v>
      </c>
    </row>
    <row r="38" spans="2:21" ht="18" customHeight="1">
      <c r="C38" s="7" t="s">
        <v>193</v>
      </c>
      <c r="D38" s="3" t="s">
        <v>300</v>
      </c>
      <c r="E38" s="8">
        <f>E32</f>
        <v>3189.8</v>
      </c>
      <c r="F38" s="1">
        <f>1/(30*600)*E38</f>
        <v>0.17721111111111112</v>
      </c>
      <c r="G38" s="25"/>
      <c r="J38" s="313" t="s">
        <v>320</v>
      </c>
      <c r="K38" s="7" t="s">
        <v>193</v>
      </c>
      <c r="L38" s="3" t="s">
        <v>424</v>
      </c>
      <c r="M38" s="8">
        <f>Encarregado!B291</f>
        <v>6802.6101961467903</v>
      </c>
      <c r="N38" s="1">
        <f>1/(28*1200)*M38</f>
        <v>0.20245863679008305</v>
      </c>
      <c r="O38" s="25"/>
      <c r="R38" s="7" t="s">
        <v>193</v>
      </c>
      <c r="S38" s="3" t="s">
        <v>321</v>
      </c>
      <c r="T38" s="8">
        <f>T32</f>
        <v>3123.76</v>
      </c>
      <c r="U38" s="9">
        <f>1/(30*800)*T38</f>
        <v>0.13015666666666667</v>
      </c>
    </row>
    <row r="39" spans="2:21" ht="18" customHeight="1">
      <c r="C39" s="10" t="s">
        <v>302</v>
      </c>
      <c r="D39" s="4" t="s">
        <v>303</v>
      </c>
      <c r="E39" s="2">
        <f>E33</f>
        <v>2588.58</v>
      </c>
      <c r="F39" s="1">
        <f>(1/600)*E39</f>
        <v>4.3143000000000002</v>
      </c>
      <c r="J39" s="314"/>
      <c r="K39" s="10" t="s">
        <v>302</v>
      </c>
      <c r="L39" s="4" t="s">
        <v>322</v>
      </c>
      <c r="M39" s="19">
        <f>ASG!B295</f>
        <v>5289.3151827351585</v>
      </c>
      <c r="N39" s="1">
        <f>(1/1200)*M39</f>
        <v>4.407762652279299</v>
      </c>
      <c r="R39" s="10" t="s">
        <v>302</v>
      </c>
      <c r="S39" s="4" t="s">
        <v>304</v>
      </c>
      <c r="T39" s="8">
        <f>T33</f>
        <v>2712.22</v>
      </c>
      <c r="U39" s="9">
        <f>(1/800)*T39</f>
        <v>3.3902749999999999</v>
      </c>
    </row>
    <row r="40" spans="2:21" ht="18" customHeight="1">
      <c r="C40" s="318" t="s">
        <v>305</v>
      </c>
      <c r="D40" s="319"/>
      <c r="E40" s="320"/>
      <c r="F40" s="26">
        <f>SUM(F38:F39)</f>
        <v>4.4915111111111115</v>
      </c>
      <c r="J40" s="321" t="s">
        <v>305</v>
      </c>
      <c r="K40" s="321"/>
      <c r="L40" s="321"/>
      <c r="M40" s="321"/>
      <c r="N40" s="26">
        <f>SUM(N38:N39)</f>
        <v>4.6102212890693819</v>
      </c>
      <c r="R40" s="318" t="s">
        <v>305</v>
      </c>
      <c r="S40" s="319"/>
      <c r="T40" s="320"/>
      <c r="U40" s="11">
        <f>SUM(U38:U39)</f>
        <v>3.5204316666666666</v>
      </c>
    </row>
    <row r="42" spans="2:21" ht="18" customHeight="1">
      <c r="C42" s="36" t="s">
        <v>292</v>
      </c>
      <c r="D42" s="318" t="s">
        <v>323</v>
      </c>
      <c r="E42" s="319"/>
      <c r="F42" s="320"/>
      <c r="J42" s="321" t="s">
        <v>292</v>
      </c>
      <c r="K42" s="321"/>
      <c r="L42" s="318" t="s">
        <v>323</v>
      </c>
      <c r="M42" s="319"/>
      <c r="N42" s="320"/>
      <c r="R42" s="36" t="s">
        <v>292</v>
      </c>
      <c r="S42" s="318" t="s">
        <v>323</v>
      </c>
      <c r="T42" s="319"/>
      <c r="U42" s="320"/>
    </row>
    <row r="43" spans="2:21" ht="47.25">
      <c r="B43" s="2">
        <v>5</v>
      </c>
      <c r="C43" s="6" t="s">
        <v>295</v>
      </c>
      <c r="D43" s="39" t="s">
        <v>296</v>
      </c>
      <c r="E43" s="6" t="s">
        <v>297</v>
      </c>
      <c r="F43" s="6" t="s">
        <v>298</v>
      </c>
      <c r="J43" s="6" t="s">
        <v>299</v>
      </c>
      <c r="K43" s="6" t="s">
        <v>295</v>
      </c>
      <c r="L43" s="39" t="s">
        <v>296</v>
      </c>
      <c r="M43" s="6" t="s">
        <v>297</v>
      </c>
      <c r="N43" s="6" t="s">
        <v>298</v>
      </c>
      <c r="R43" s="6" t="s">
        <v>295</v>
      </c>
      <c r="S43" s="39" t="s">
        <v>296</v>
      </c>
      <c r="T43" s="6" t="s">
        <v>297</v>
      </c>
      <c r="U43" s="6" t="s">
        <v>298</v>
      </c>
    </row>
    <row r="44" spans="2:21" ht="18" customHeight="1">
      <c r="C44" s="13" t="s">
        <v>193</v>
      </c>
      <c r="D44" s="3" t="s">
        <v>300</v>
      </c>
      <c r="E44" s="8">
        <f>E32</f>
        <v>3189.8</v>
      </c>
      <c r="F44" s="1">
        <f>1/(30*600)*E44</f>
        <v>0.17721111111111112</v>
      </c>
      <c r="J44" s="313" t="s">
        <v>324</v>
      </c>
      <c r="K44" s="13" t="s">
        <v>193</v>
      </c>
      <c r="L44" s="3" t="s">
        <v>425</v>
      </c>
      <c r="M44" s="8">
        <f>Encarregado!B291</f>
        <v>6802.6101961467903</v>
      </c>
      <c r="N44" s="1">
        <f>1/(28*1000)*M44</f>
        <v>0.24295036414809967</v>
      </c>
      <c r="R44" s="13" t="s">
        <v>193</v>
      </c>
      <c r="S44" s="3" t="s">
        <v>325</v>
      </c>
      <c r="T44" s="8">
        <f>T38</f>
        <v>3123.76</v>
      </c>
      <c r="U44" s="9">
        <f>1/(30*400)*T44</f>
        <v>0.26031333333333334</v>
      </c>
    </row>
    <row r="45" spans="2:21" ht="18" customHeight="1">
      <c r="C45" s="10" t="s">
        <v>302</v>
      </c>
      <c r="D45" s="4" t="s">
        <v>303</v>
      </c>
      <c r="E45" s="2">
        <f>E39</f>
        <v>2588.58</v>
      </c>
      <c r="F45" s="1">
        <f>(1/600)*E45</f>
        <v>4.3143000000000002</v>
      </c>
      <c r="J45" s="314"/>
      <c r="K45" s="10" t="s">
        <v>302</v>
      </c>
      <c r="L45" s="4" t="s">
        <v>326</v>
      </c>
      <c r="M45" s="19">
        <f>ASG!B295</f>
        <v>5289.3151827351585</v>
      </c>
      <c r="N45" s="1">
        <f>(1/1000)*M45</f>
        <v>5.2893151827351588</v>
      </c>
      <c r="R45" s="10" t="s">
        <v>302</v>
      </c>
      <c r="S45" s="4" t="s">
        <v>327</v>
      </c>
      <c r="T45" s="8">
        <f>T39</f>
        <v>2712.22</v>
      </c>
      <c r="U45" s="9">
        <f>(1/400)*T45</f>
        <v>6.7805499999999999</v>
      </c>
    </row>
    <row r="46" spans="2:21" ht="18" customHeight="1">
      <c r="C46" s="318" t="s">
        <v>305</v>
      </c>
      <c r="D46" s="319"/>
      <c r="E46" s="320"/>
      <c r="F46" s="26">
        <f>SUM(F44:F45)</f>
        <v>4.4915111111111115</v>
      </c>
      <c r="J46" s="321" t="s">
        <v>305</v>
      </c>
      <c r="K46" s="321"/>
      <c r="L46" s="321"/>
      <c r="M46" s="321"/>
      <c r="N46" s="26">
        <f>SUM(N44:N45)</f>
        <v>5.5322655468832584</v>
      </c>
      <c r="R46" s="318" t="s">
        <v>305</v>
      </c>
      <c r="S46" s="319"/>
      <c r="T46" s="320"/>
      <c r="U46" s="11">
        <f>SUM(U44:U45)</f>
        <v>7.0408633333333333</v>
      </c>
    </row>
    <row r="47" spans="2:21" ht="18" customHeight="1">
      <c r="C47" s="27"/>
      <c r="D47" s="27"/>
      <c r="E47" s="27"/>
      <c r="F47" s="138"/>
      <c r="R47" s="27"/>
      <c r="S47" s="27"/>
      <c r="T47" s="27"/>
      <c r="U47" s="28"/>
    </row>
    <row r="48" spans="2:21" ht="18" customHeight="1">
      <c r="C48" s="27"/>
      <c r="D48" s="27"/>
      <c r="E48" s="27"/>
      <c r="F48" s="138"/>
      <c r="J48" s="321" t="s">
        <v>292</v>
      </c>
      <c r="K48" s="321"/>
      <c r="L48" s="318" t="s">
        <v>328</v>
      </c>
      <c r="M48" s="319"/>
      <c r="N48" s="320"/>
      <c r="R48" s="27"/>
      <c r="S48" s="27"/>
      <c r="T48" s="27"/>
      <c r="U48" s="28"/>
    </row>
    <row r="49" spans="2:21" ht="34.5" customHeight="1">
      <c r="C49" s="27"/>
      <c r="D49" s="27"/>
      <c r="E49" s="27"/>
      <c r="F49" s="138"/>
      <c r="J49" s="6" t="s">
        <v>299</v>
      </c>
      <c r="K49" s="6" t="s">
        <v>295</v>
      </c>
      <c r="L49" s="39" t="s">
        <v>296</v>
      </c>
      <c r="M49" s="6" t="s">
        <v>297</v>
      </c>
      <c r="N49" s="6" t="s">
        <v>298</v>
      </c>
      <c r="R49" s="27"/>
      <c r="S49" s="27"/>
      <c r="T49" s="27"/>
      <c r="U49" s="28"/>
    </row>
    <row r="50" spans="2:21" ht="18" customHeight="1">
      <c r="C50" s="27"/>
      <c r="D50" s="27"/>
      <c r="E50" s="27"/>
      <c r="F50" s="138"/>
      <c r="J50" s="313" t="s">
        <v>329</v>
      </c>
      <c r="K50" s="13" t="s">
        <v>193</v>
      </c>
      <c r="L50" s="3" t="s">
        <v>426</v>
      </c>
      <c r="M50" s="8">
        <f>Encarregado!B291</f>
        <v>6802.6101961467903</v>
      </c>
      <c r="N50" s="1">
        <f>1/(28*200)*M50</f>
        <v>1.2147518207404984</v>
      </c>
      <c r="R50" s="27"/>
      <c r="S50" s="27"/>
      <c r="T50" s="27"/>
      <c r="U50" s="28"/>
    </row>
    <row r="51" spans="2:21" ht="18" customHeight="1">
      <c r="C51" s="27"/>
      <c r="D51" s="27"/>
      <c r="E51" s="27"/>
      <c r="F51" s="138"/>
      <c r="J51" s="314"/>
      <c r="K51" s="10" t="s">
        <v>302</v>
      </c>
      <c r="L51" s="4" t="s">
        <v>330</v>
      </c>
      <c r="M51" s="19">
        <f>ASG!B295</f>
        <v>5289.3151827351585</v>
      </c>
      <c r="N51" s="1">
        <f>(1/200)*M51</f>
        <v>26.446575913675794</v>
      </c>
      <c r="R51" s="27"/>
      <c r="S51" s="27"/>
      <c r="T51" s="27"/>
      <c r="U51" s="28"/>
    </row>
    <row r="52" spans="2:21" ht="18" customHeight="1">
      <c r="C52" s="27"/>
      <c r="D52" s="27"/>
      <c r="E52" s="27"/>
      <c r="F52" s="138"/>
      <c r="J52" s="321" t="s">
        <v>305</v>
      </c>
      <c r="K52" s="321"/>
      <c r="L52" s="321"/>
      <c r="M52" s="321"/>
      <c r="N52" s="26">
        <f>SUM(N50:N51)</f>
        <v>27.661327734416293</v>
      </c>
      <c r="R52" s="27"/>
      <c r="S52" s="27"/>
      <c r="T52" s="27"/>
      <c r="U52" s="28"/>
    </row>
    <row r="53" spans="2:21" ht="18" customHeight="1">
      <c r="C53" s="27"/>
      <c r="D53" s="27"/>
      <c r="E53" s="27"/>
      <c r="F53" s="138"/>
      <c r="R53" s="27"/>
      <c r="S53" s="27"/>
      <c r="T53" s="27"/>
      <c r="U53" s="28"/>
    </row>
    <row r="54" spans="2:21" ht="18" customHeight="1">
      <c r="C54" s="27"/>
      <c r="D54" s="27"/>
      <c r="E54" s="27"/>
      <c r="F54" s="138"/>
      <c r="J54" s="321" t="s">
        <v>292</v>
      </c>
      <c r="K54" s="321"/>
      <c r="L54" s="318" t="s">
        <v>331</v>
      </c>
      <c r="M54" s="319"/>
      <c r="N54" s="320"/>
      <c r="R54" s="27"/>
      <c r="S54" s="27"/>
      <c r="T54" s="27"/>
      <c r="U54" s="28"/>
    </row>
    <row r="55" spans="2:21" ht="45" customHeight="1">
      <c r="C55" s="27"/>
      <c r="D55" s="27"/>
      <c r="E55" s="27"/>
      <c r="F55" s="138"/>
      <c r="J55" s="6" t="s">
        <v>299</v>
      </c>
      <c r="K55" s="6" t="s">
        <v>295</v>
      </c>
      <c r="L55" s="39" t="s">
        <v>296</v>
      </c>
      <c r="M55" s="6" t="s">
        <v>297</v>
      </c>
      <c r="N55" s="6" t="s">
        <v>298</v>
      </c>
      <c r="R55" s="27"/>
      <c r="S55" s="27"/>
      <c r="T55" s="27"/>
      <c r="U55" s="28"/>
    </row>
    <row r="56" spans="2:21" ht="18" customHeight="1">
      <c r="C56" s="27"/>
      <c r="D56" s="27"/>
      <c r="E56" s="27"/>
      <c r="F56" s="138"/>
      <c r="J56" s="313" t="s">
        <v>329</v>
      </c>
      <c r="K56" s="13" t="s">
        <v>193</v>
      </c>
      <c r="L56" s="3" t="s">
        <v>426</v>
      </c>
      <c r="M56" s="8">
        <f>Encarregado!B291</f>
        <v>6802.6101961467903</v>
      </c>
      <c r="N56" s="1">
        <f>1/(28*200)*M56</f>
        <v>1.2147518207404984</v>
      </c>
      <c r="R56" s="27"/>
      <c r="S56" s="27"/>
      <c r="T56" s="27"/>
      <c r="U56" s="28"/>
    </row>
    <row r="57" spans="2:21" ht="18" customHeight="1">
      <c r="C57" s="27"/>
      <c r="D57" s="27"/>
      <c r="E57" s="27"/>
      <c r="F57" s="138"/>
      <c r="J57" s="314"/>
      <c r="K57" s="10" t="s">
        <v>302</v>
      </c>
      <c r="L57" s="4" t="s">
        <v>330</v>
      </c>
      <c r="M57" s="19">
        <f>'ASG Insal 40%'!B294</f>
        <v>6682.2386184524767</v>
      </c>
      <c r="N57" s="1">
        <f>(1/200)*M57</f>
        <v>33.411193092262387</v>
      </c>
      <c r="R57" s="27"/>
      <c r="S57" s="27"/>
      <c r="T57" s="27"/>
      <c r="U57" s="28"/>
    </row>
    <row r="58" spans="2:21" ht="18" customHeight="1">
      <c r="C58" s="27"/>
      <c r="D58" s="27"/>
      <c r="E58" s="27"/>
      <c r="F58" s="138"/>
      <c r="J58" s="321" t="s">
        <v>305</v>
      </c>
      <c r="K58" s="321"/>
      <c r="L58" s="321"/>
      <c r="M58" s="321"/>
      <c r="N58" s="26">
        <f>SUM(N56:N57)</f>
        <v>34.625944913002883</v>
      </c>
      <c r="R58" s="27"/>
      <c r="S58" s="27"/>
      <c r="T58" s="27"/>
      <c r="U58" s="28"/>
    </row>
    <row r="60" spans="2:21" ht="18" customHeight="1">
      <c r="C60" s="36" t="s">
        <v>332</v>
      </c>
      <c r="D60" s="318" t="s">
        <v>333</v>
      </c>
      <c r="E60" s="319"/>
      <c r="F60" s="320"/>
      <c r="J60" s="321" t="s">
        <v>332</v>
      </c>
      <c r="K60" s="321"/>
      <c r="L60" s="318" t="s">
        <v>333</v>
      </c>
      <c r="M60" s="319"/>
      <c r="N60" s="320"/>
      <c r="R60" s="36" t="s">
        <v>332</v>
      </c>
      <c r="S60" s="318" t="s">
        <v>333</v>
      </c>
      <c r="T60" s="319"/>
      <c r="U60" s="320"/>
    </row>
    <row r="61" spans="2:21" ht="47.25">
      <c r="B61" s="2">
        <v>6</v>
      </c>
      <c r="C61" s="6" t="s">
        <v>295</v>
      </c>
      <c r="D61" s="39" t="s">
        <v>296</v>
      </c>
      <c r="E61" s="6" t="s">
        <v>297</v>
      </c>
      <c r="F61" s="6" t="s">
        <v>298</v>
      </c>
      <c r="J61" s="6" t="s">
        <v>299</v>
      </c>
      <c r="K61" s="6" t="s">
        <v>295</v>
      </c>
      <c r="L61" s="39" t="s">
        <v>296</v>
      </c>
      <c r="M61" s="6" t="s">
        <v>297</v>
      </c>
      <c r="N61" s="6" t="s">
        <v>298</v>
      </c>
      <c r="R61" s="6" t="s">
        <v>295</v>
      </c>
      <c r="S61" s="39" t="s">
        <v>296</v>
      </c>
      <c r="T61" s="6" t="s">
        <v>297</v>
      </c>
      <c r="U61" s="6" t="s">
        <v>298</v>
      </c>
    </row>
    <row r="62" spans="2:21" ht="18" customHeight="1">
      <c r="C62" s="7" t="s">
        <v>193</v>
      </c>
      <c r="D62" s="3" t="s">
        <v>334</v>
      </c>
      <c r="E62" s="8">
        <f>E44</f>
        <v>3189.8</v>
      </c>
      <c r="F62" s="9">
        <f>1/(30*1200)*E62</f>
        <v>8.8605555555555562E-2</v>
      </c>
      <c r="J62" s="313" t="s">
        <v>335</v>
      </c>
      <c r="K62" s="7" t="s">
        <v>193</v>
      </c>
      <c r="L62" s="3" t="s">
        <v>427</v>
      </c>
      <c r="M62" s="8">
        <f>Encarregado!B291</f>
        <v>6802.6101961467903</v>
      </c>
      <c r="N62" s="9">
        <f>1/(28*1800)*M62</f>
        <v>0.13497242452672203</v>
      </c>
      <c r="R62" s="7" t="s">
        <v>193</v>
      </c>
      <c r="S62" s="3" t="s">
        <v>334</v>
      </c>
      <c r="T62" s="8">
        <f>T44</f>
        <v>3123.76</v>
      </c>
      <c r="U62" s="9">
        <f>1/(30*1200)*T62</f>
        <v>8.6771111111111118E-2</v>
      </c>
    </row>
    <row r="63" spans="2:21" ht="18" customHeight="1">
      <c r="C63" s="10" t="s">
        <v>302</v>
      </c>
      <c r="D63" s="4" t="s">
        <v>322</v>
      </c>
      <c r="E63" s="2">
        <f>E45</f>
        <v>2588.58</v>
      </c>
      <c r="F63" s="9">
        <f>(1/1200)*E63</f>
        <v>2.1571500000000001</v>
      </c>
      <c r="J63" s="314"/>
      <c r="K63" s="10" t="s">
        <v>302</v>
      </c>
      <c r="L63" s="4" t="s">
        <v>336</v>
      </c>
      <c r="M63" s="19">
        <f>ASG!B295</f>
        <v>5289.3151827351585</v>
      </c>
      <c r="N63" s="9">
        <f>(1/1800)*M63</f>
        <v>2.9385084348528658</v>
      </c>
      <c r="R63" s="10" t="s">
        <v>302</v>
      </c>
      <c r="S63" s="4" t="s">
        <v>322</v>
      </c>
      <c r="T63" s="8">
        <f>T45</f>
        <v>2712.22</v>
      </c>
      <c r="U63" s="9">
        <f>(1/1200)*T63</f>
        <v>2.2601833333333334</v>
      </c>
    </row>
    <row r="64" spans="2:21" ht="18" customHeight="1">
      <c r="C64" s="36" t="s">
        <v>305</v>
      </c>
      <c r="D64" s="37"/>
      <c r="E64" s="38"/>
      <c r="F64" s="26">
        <f>SUM(F62:F63)</f>
        <v>2.2457555555555557</v>
      </c>
      <c r="J64" s="321" t="s">
        <v>305</v>
      </c>
      <c r="K64" s="321"/>
      <c r="L64" s="321"/>
      <c r="M64" s="321"/>
      <c r="N64" s="26">
        <f>SUM(N62:N63)</f>
        <v>3.0734808593795879</v>
      </c>
      <c r="R64" s="318" t="s">
        <v>305</v>
      </c>
      <c r="S64" s="319"/>
      <c r="T64" s="320"/>
      <c r="U64" s="11">
        <f>SUM(U62:U63)</f>
        <v>2.3469544444444446</v>
      </c>
    </row>
    <row r="66" spans="2:23" ht="18" customHeight="1">
      <c r="C66" s="36" t="s">
        <v>332</v>
      </c>
      <c r="D66" s="318" t="s">
        <v>337</v>
      </c>
      <c r="E66" s="319"/>
      <c r="F66" s="320"/>
      <c r="J66" s="321" t="s">
        <v>332</v>
      </c>
      <c r="K66" s="321"/>
      <c r="L66" s="318" t="s">
        <v>337</v>
      </c>
      <c r="M66" s="319"/>
      <c r="N66" s="320"/>
      <c r="R66" s="36" t="s">
        <v>332</v>
      </c>
      <c r="S66" s="318" t="s">
        <v>337</v>
      </c>
      <c r="T66" s="319"/>
      <c r="U66" s="320"/>
    </row>
    <row r="67" spans="2:23" ht="47.25">
      <c r="B67" s="2">
        <v>7</v>
      </c>
      <c r="C67" s="6" t="s">
        <v>295</v>
      </c>
      <c r="D67" s="39" t="s">
        <v>296</v>
      </c>
      <c r="E67" s="6" t="s">
        <v>297</v>
      </c>
      <c r="F67" s="6" t="s">
        <v>298</v>
      </c>
      <c r="J67" s="6" t="s">
        <v>299</v>
      </c>
      <c r="K67" s="6" t="s">
        <v>295</v>
      </c>
      <c r="L67" s="39" t="s">
        <v>296</v>
      </c>
      <c r="M67" s="6" t="s">
        <v>297</v>
      </c>
      <c r="N67" s="6" t="s">
        <v>298</v>
      </c>
      <c r="R67" s="6" t="s">
        <v>295</v>
      </c>
      <c r="S67" s="39" t="s">
        <v>296</v>
      </c>
      <c r="T67" s="6" t="s">
        <v>297</v>
      </c>
      <c r="U67" s="6" t="s">
        <v>298</v>
      </c>
    </row>
    <row r="68" spans="2:23" ht="18" customHeight="1">
      <c r="C68" s="7" t="s">
        <v>193</v>
      </c>
      <c r="D68" s="3" t="s">
        <v>338</v>
      </c>
      <c r="E68" s="8">
        <f>E62</f>
        <v>3189.8</v>
      </c>
      <c r="F68" s="1">
        <f>1/(30*1200)*E68</f>
        <v>8.8605555555555562E-2</v>
      </c>
      <c r="J68" s="313" t="s">
        <v>339</v>
      </c>
      <c r="K68" s="7" t="s">
        <v>193</v>
      </c>
      <c r="L68" s="3" t="s">
        <v>428</v>
      </c>
      <c r="M68" s="8">
        <f>Encarregado!B291</f>
        <v>6802.6101961467903</v>
      </c>
      <c r="N68" s="1">
        <f>1/(28*6000)*M68</f>
        <v>4.0491727358016608E-2</v>
      </c>
      <c r="R68" s="7" t="s">
        <v>193</v>
      </c>
      <c r="S68" s="3" t="s">
        <v>338</v>
      </c>
      <c r="T68" s="8">
        <f>T62</f>
        <v>3123.76</v>
      </c>
      <c r="U68" s="9">
        <f>1/(30*1200)*T68</f>
        <v>8.6771111111111118E-2</v>
      </c>
    </row>
    <row r="69" spans="2:23" ht="18" customHeight="1">
      <c r="C69" s="10" t="s">
        <v>302</v>
      </c>
      <c r="D69" s="4" t="s">
        <v>322</v>
      </c>
      <c r="E69" s="2">
        <f>E63</f>
        <v>2588.58</v>
      </c>
      <c r="F69" s="1">
        <f>(1/1200)*E69</f>
        <v>2.1571500000000001</v>
      </c>
      <c r="J69" s="314"/>
      <c r="K69" s="10" t="s">
        <v>302</v>
      </c>
      <c r="L69" s="4" t="s">
        <v>340</v>
      </c>
      <c r="M69" s="19">
        <f>ASG!B295</f>
        <v>5289.3151827351585</v>
      </c>
      <c r="N69" s="1">
        <f>(1/6000)*M69</f>
        <v>0.88155253045585968</v>
      </c>
      <c r="R69" s="10" t="s">
        <v>302</v>
      </c>
      <c r="S69" s="4" t="s">
        <v>322</v>
      </c>
      <c r="T69" s="8">
        <f>T63</f>
        <v>2712.22</v>
      </c>
      <c r="U69" s="9">
        <f>(1/1200)*T69</f>
        <v>2.2601833333333334</v>
      </c>
    </row>
    <row r="70" spans="2:23" ht="18" customHeight="1">
      <c r="C70" s="318" t="s">
        <v>305</v>
      </c>
      <c r="D70" s="319"/>
      <c r="E70" s="320"/>
      <c r="F70" s="26">
        <f>SUM(F68:F69)</f>
        <v>2.2457555555555557</v>
      </c>
      <c r="J70" s="321" t="s">
        <v>305</v>
      </c>
      <c r="K70" s="321"/>
      <c r="L70" s="321"/>
      <c r="M70" s="321"/>
      <c r="N70" s="26">
        <f>SUM(N68:N69)</f>
        <v>0.92204425781387633</v>
      </c>
      <c r="R70" s="318" t="s">
        <v>305</v>
      </c>
      <c r="S70" s="319"/>
      <c r="T70" s="320"/>
      <c r="U70" s="11">
        <f>SUM(U68:U69)</f>
        <v>2.3469544444444446</v>
      </c>
    </row>
    <row r="72" spans="2:23" ht="18" customHeight="1">
      <c r="C72" s="36" t="s">
        <v>332</v>
      </c>
      <c r="D72" s="318" t="s">
        <v>341</v>
      </c>
      <c r="E72" s="319"/>
      <c r="F72" s="320"/>
      <c r="J72" s="321" t="s">
        <v>332</v>
      </c>
      <c r="K72" s="321"/>
      <c r="L72" s="318" t="s">
        <v>341</v>
      </c>
      <c r="M72" s="319"/>
      <c r="N72" s="320"/>
      <c r="R72" s="36" t="s">
        <v>332</v>
      </c>
      <c r="S72" s="318" t="s">
        <v>341</v>
      </c>
      <c r="T72" s="319"/>
      <c r="U72" s="320"/>
    </row>
    <row r="73" spans="2:23" ht="47.25">
      <c r="B73" s="2">
        <v>8</v>
      </c>
      <c r="C73" s="6" t="s">
        <v>295</v>
      </c>
      <c r="D73" s="39" t="s">
        <v>296</v>
      </c>
      <c r="E73" s="6" t="s">
        <v>297</v>
      </c>
      <c r="F73" s="6" t="s">
        <v>298</v>
      </c>
      <c r="J73" s="6" t="s">
        <v>299</v>
      </c>
      <c r="K73" s="6" t="s">
        <v>295</v>
      </c>
      <c r="L73" s="39" t="s">
        <v>296</v>
      </c>
      <c r="M73" s="6" t="s">
        <v>297</v>
      </c>
      <c r="N73" s="6" t="s">
        <v>298</v>
      </c>
      <c r="R73" s="6" t="s">
        <v>295</v>
      </c>
      <c r="S73" s="39" t="s">
        <v>296</v>
      </c>
      <c r="T73" s="6" t="s">
        <v>297</v>
      </c>
      <c r="U73" s="6" t="s">
        <v>298</v>
      </c>
    </row>
    <row r="74" spans="2:23" ht="18" customHeight="1">
      <c r="C74" s="7" t="s">
        <v>193</v>
      </c>
      <c r="D74" s="3" t="s">
        <v>334</v>
      </c>
      <c r="E74" s="8">
        <f>E68</f>
        <v>3189.8</v>
      </c>
      <c r="F74" s="1">
        <f>1/(30*1200)*E74</f>
        <v>8.8605555555555562E-2</v>
      </c>
      <c r="J74" s="313" t="s">
        <v>335</v>
      </c>
      <c r="K74" s="7" t="s">
        <v>193</v>
      </c>
      <c r="L74" s="3" t="s">
        <v>427</v>
      </c>
      <c r="M74" s="8">
        <f>Encarregado!B291</f>
        <v>6802.6101961467903</v>
      </c>
      <c r="N74" s="1">
        <f>1/(28*1800)*M74</f>
        <v>0.13497242452672203</v>
      </c>
      <c r="R74" s="7" t="s">
        <v>193</v>
      </c>
      <c r="S74" s="3" t="s">
        <v>334</v>
      </c>
      <c r="T74" s="8">
        <f>T68</f>
        <v>3123.76</v>
      </c>
      <c r="U74" s="9">
        <f>1/(30*1200)*T74</f>
        <v>8.6771111111111118E-2</v>
      </c>
    </row>
    <row r="75" spans="2:23" ht="18" customHeight="1">
      <c r="C75" s="10" t="s">
        <v>302</v>
      </c>
      <c r="D75" s="4" t="s">
        <v>322</v>
      </c>
      <c r="E75" s="2">
        <f>E69</f>
        <v>2588.58</v>
      </c>
      <c r="F75" s="1">
        <f>(1/1200)*E75</f>
        <v>2.1571500000000001</v>
      </c>
      <c r="J75" s="314"/>
      <c r="K75" s="10" t="s">
        <v>302</v>
      </c>
      <c r="L75" s="4" t="s">
        <v>336</v>
      </c>
      <c r="M75" s="19">
        <f>ASG!B295</f>
        <v>5289.3151827351585</v>
      </c>
      <c r="N75" s="1">
        <f>(1/1800)*M75</f>
        <v>2.9385084348528658</v>
      </c>
      <c r="R75" s="10" t="s">
        <v>302</v>
      </c>
      <c r="S75" s="4" t="s">
        <v>322</v>
      </c>
      <c r="T75" s="8">
        <f>T69</f>
        <v>2712.22</v>
      </c>
      <c r="U75" s="9">
        <f>(1/1200)*T75</f>
        <v>2.2601833333333334</v>
      </c>
    </row>
    <row r="76" spans="2:23" ht="18" customHeight="1">
      <c r="C76" s="318" t="s">
        <v>305</v>
      </c>
      <c r="D76" s="319"/>
      <c r="E76" s="320"/>
      <c r="F76" s="26">
        <f>SUM(F74:F75)</f>
        <v>2.2457555555555557</v>
      </c>
      <c r="J76" s="321" t="s">
        <v>305</v>
      </c>
      <c r="K76" s="321"/>
      <c r="L76" s="321"/>
      <c r="M76" s="321"/>
      <c r="N76" s="26">
        <f>SUM(N74:N75)</f>
        <v>3.0734808593795879</v>
      </c>
      <c r="R76" s="318" t="s">
        <v>305</v>
      </c>
      <c r="S76" s="319"/>
      <c r="T76" s="320"/>
      <c r="U76" s="11">
        <f>SUM(U74:U75)</f>
        <v>2.3469544444444446</v>
      </c>
    </row>
    <row r="77" spans="2:23" ht="18" customHeight="1">
      <c r="C77" s="14"/>
      <c r="D77" s="14"/>
      <c r="E77" s="14"/>
      <c r="F77" s="15"/>
      <c r="K77" s="14"/>
      <c r="L77" s="14"/>
      <c r="M77" s="14"/>
      <c r="N77" s="15"/>
      <c r="R77" s="14"/>
      <c r="S77" s="14"/>
      <c r="T77" s="14"/>
      <c r="U77" s="15"/>
    </row>
    <row r="78" spans="2:23" ht="18" customHeight="1">
      <c r="B78" s="36" t="s">
        <v>332</v>
      </c>
      <c r="C78" s="318" t="s">
        <v>342</v>
      </c>
      <c r="D78" s="344"/>
      <c r="E78" s="344"/>
      <c r="F78" s="344"/>
      <c r="G78" s="344"/>
      <c r="H78" s="345"/>
      <c r="I78" s="321" t="s">
        <v>332</v>
      </c>
      <c r="J78" s="321"/>
      <c r="K78" s="318" t="s">
        <v>342</v>
      </c>
      <c r="L78" s="344"/>
      <c r="M78" s="344"/>
      <c r="N78" s="344"/>
      <c r="O78" s="344"/>
      <c r="P78" s="345"/>
      <c r="Q78" s="36" t="s">
        <v>332</v>
      </c>
      <c r="R78" s="318" t="s">
        <v>342</v>
      </c>
      <c r="S78" s="344"/>
      <c r="T78" s="344"/>
      <c r="U78" s="344"/>
      <c r="V78" s="344"/>
      <c r="W78" s="345"/>
    </row>
    <row r="79" spans="2:23" ht="47.25">
      <c r="B79" s="6" t="s">
        <v>295</v>
      </c>
      <c r="C79" s="39" t="s">
        <v>296</v>
      </c>
      <c r="D79" s="6" t="s">
        <v>343</v>
      </c>
      <c r="E79" s="6" t="s">
        <v>344</v>
      </c>
      <c r="F79" s="6" t="s">
        <v>345</v>
      </c>
      <c r="G79" s="6" t="s">
        <v>346</v>
      </c>
      <c r="H79" s="6" t="s">
        <v>347</v>
      </c>
      <c r="I79" s="6" t="s">
        <v>299</v>
      </c>
      <c r="J79" s="6" t="s">
        <v>295</v>
      </c>
      <c r="K79" s="39" t="s">
        <v>296</v>
      </c>
      <c r="L79" s="6" t="s">
        <v>343</v>
      </c>
      <c r="M79" s="6" t="s">
        <v>344</v>
      </c>
      <c r="N79" s="6" t="s">
        <v>345</v>
      </c>
      <c r="O79" s="6" t="s">
        <v>346</v>
      </c>
      <c r="P79" s="6" t="s">
        <v>347</v>
      </c>
      <c r="Q79" s="6" t="s">
        <v>295</v>
      </c>
      <c r="R79" s="39" t="s">
        <v>296</v>
      </c>
      <c r="S79" s="6" t="s">
        <v>343</v>
      </c>
      <c r="T79" s="6" t="s">
        <v>344</v>
      </c>
      <c r="U79" s="6" t="s">
        <v>345</v>
      </c>
      <c r="V79" s="6" t="s">
        <v>346</v>
      </c>
      <c r="W79" s="6" t="s">
        <v>347</v>
      </c>
    </row>
    <row r="80" spans="2:23" ht="18" customHeight="1">
      <c r="B80" s="7" t="s">
        <v>193</v>
      </c>
      <c r="C80" s="3" t="s">
        <v>348</v>
      </c>
      <c r="D80" s="16">
        <v>16</v>
      </c>
      <c r="E80" s="5" t="s">
        <v>349</v>
      </c>
      <c r="F80" s="17">
        <f>(1/(30*220))*D80*(1/191.4)</f>
        <v>1.2665843386846523E-5</v>
      </c>
      <c r="G80" s="8">
        <f>E74</f>
        <v>3189.8</v>
      </c>
      <c r="H80" s="9">
        <f>F80*G80</f>
        <v>4.0401507235363038E-2</v>
      </c>
      <c r="I80" s="313" t="s">
        <v>350</v>
      </c>
      <c r="J80" s="7" t="s">
        <v>193</v>
      </c>
      <c r="K80" s="3" t="s">
        <v>351</v>
      </c>
      <c r="L80" s="16">
        <v>8</v>
      </c>
      <c r="M80" s="5" t="s">
        <v>352</v>
      </c>
      <c r="N80" s="17">
        <f>(1/(4*130))*L80*(1/1132.6)</f>
        <v>1.3583449924611855E-5</v>
      </c>
      <c r="O80" s="8">
        <f>Encarregado!B291</f>
        <v>6802.6101961467903</v>
      </c>
      <c r="P80" s="9">
        <f>N80*O80</f>
        <v>9.2402914956013951E-2</v>
      </c>
      <c r="Q80" s="7" t="s">
        <v>193</v>
      </c>
      <c r="R80" s="3" t="s">
        <v>353</v>
      </c>
      <c r="S80" s="16">
        <v>16</v>
      </c>
      <c r="T80" s="5" t="s">
        <v>349</v>
      </c>
      <c r="U80" s="17">
        <f>(1/(30*110))*S80*(1/191.4)</f>
        <v>2.5331686773693045E-5</v>
      </c>
      <c r="V80" s="16">
        <f>T74</f>
        <v>3123.76</v>
      </c>
      <c r="W80" s="9">
        <f>U80*V80</f>
        <v>7.9130109876191387E-2</v>
      </c>
    </row>
    <row r="81" spans="2:25" ht="18" customHeight="1">
      <c r="B81" s="10" t="s">
        <v>302</v>
      </c>
      <c r="C81" s="4" t="s">
        <v>354</v>
      </c>
      <c r="D81" s="5">
        <v>16</v>
      </c>
      <c r="E81" s="5" t="s">
        <v>349</v>
      </c>
      <c r="F81" s="17">
        <f>(1/220)*D81*(1/191.4)</f>
        <v>3.7997530160539561E-4</v>
      </c>
      <c r="G81" s="2">
        <f>E75</f>
        <v>2588.58</v>
      </c>
      <c r="H81" s="9">
        <f>F81*G81</f>
        <v>0.98359646622969499</v>
      </c>
      <c r="I81" s="314"/>
      <c r="J81" s="7" t="s">
        <v>302</v>
      </c>
      <c r="K81" s="139" t="s">
        <v>355</v>
      </c>
      <c r="L81" s="140">
        <v>8</v>
      </c>
      <c r="M81" s="5" t="s">
        <v>352</v>
      </c>
      <c r="N81" s="141">
        <f>(1/130)*L81*(1/1132.6)</f>
        <v>5.4333799698447419E-5</v>
      </c>
      <c r="O81" s="19">
        <f>ASG!B295</f>
        <v>5289.3151827351585</v>
      </c>
      <c r="P81" s="9">
        <f>N81*O81</f>
        <v>0.28738859168068892</v>
      </c>
      <c r="Q81" s="10" t="s">
        <v>302</v>
      </c>
      <c r="R81" s="4" t="s">
        <v>356</v>
      </c>
      <c r="S81" s="16">
        <v>16</v>
      </c>
      <c r="T81" s="5" t="s">
        <v>349</v>
      </c>
      <c r="U81" s="17">
        <f>(1/110)*S81*(1/191.4)</f>
        <v>7.5995060321079123E-4</v>
      </c>
      <c r="V81" s="8">
        <f>T75</f>
        <v>2712.22</v>
      </c>
      <c r="W81" s="9">
        <f>U81*V81</f>
        <v>2.0611532250403721</v>
      </c>
    </row>
    <row r="82" spans="2:25" ht="18" customHeight="1">
      <c r="B82" s="318" t="s">
        <v>305</v>
      </c>
      <c r="C82" s="319"/>
      <c r="D82" s="319"/>
      <c r="E82" s="319"/>
      <c r="F82" s="319"/>
      <c r="G82" s="320"/>
      <c r="H82" s="26">
        <f>SUM(H80:H81)</f>
        <v>1.0239979734650579</v>
      </c>
      <c r="I82" s="321" t="s">
        <v>305</v>
      </c>
      <c r="J82" s="321"/>
      <c r="K82" s="321"/>
      <c r="L82" s="321"/>
      <c r="M82" s="321"/>
      <c r="N82" s="321"/>
      <c r="O82" s="321"/>
      <c r="P82" s="26">
        <f>SUM(P80:P81)</f>
        <v>0.37979150663670286</v>
      </c>
      <c r="Q82" s="318" t="s">
        <v>305</v>
      </c>
      <c r="R82" s="319"/>
      <c r="S82" s="319"/>
      <c r="T82" s="319"/>
      <c r="U82" s="319"/>
      <c r="V82" s="320"/>
      <c r="W82" s="11">
        <f>SUM(W80:W81)</f>
        <v>2.1402833349165635</v>
      </c>
    </row>
    <row r="84" spans="2:25" ht="18" customHeight="1">
      <c r="B84" s="36" t="s">
        <v>332</v>
      </c>
      <c r="C84" s="318" t="s">
        <v>357</v>
      </c>
      <c r="D84" s="319"/>
      <c r="E84" s="319"/>
      <c r="F84" s="319"/>
      <c r="G84" s="319"/>
      <c r="H84" s="320"/>
      <c r="I84" s="321" t="s">
        <v>332</v>
      </c>
      <c r="J84" s="321"/>
      <c r="K84" s="318" t="s">
        <v>357</v>
      </c>
      <c r="L84" s="319"/>
      <c r="M84" s="319"/>
      <c r="N84" s="319"/>
      <c r="O84" s="319"/>
      <c r="P84" s="320"/>
      <c r="Q84" s="36" t="s">
        <v>332</v>
      </c>
      <c r="R84" s="318" t="s">
        <v>357</v>
      </c>
      <c r="S84" s="319"/>
      <c r="T84" s="319"/>
      <c r="U84" s="319"/>
      <c r="V84" s="319"/>
      <c r="W84" s="320"/>
      <c r="Y84" s="19"/>
    </row>
    <row r="85" spans="2:25" ht="47.25">
      <c r="B85" s="6" t="s">
        <v>295</v>
      </c>
      <c r="C85" s="39" t="s">
        <v>296</v>
      </c>
      <c r="D85" s="6" t="s">
        <v>343</v>
      </c>
      <c r="E85" s="6" t="s">
        <v>344</v>
      </c>
      <c r="F85" s="6" t="s">
        <v>345</v>
      </c>
      <c r="G85" s="6" t="s">
        <v>346</v>
      </c>
      <c r="H85" s="6" t="s">
        <v>347</v>
      </c>
      <c r="I85" s="6" t="s">
        <v>299</v>
      </c>
      <c r="J85" s="6" t="s">
        <v>295</v>
      </c>
      <c r="K85" s="39" t="s">
        <v>296</v>
      </c>
      <c r="L85" s="6" t="s">
        <v>343</v>
      </c>
      <c r="M85" s="6" t="s">
        <v>344</v>
      </c>
      <c r="N85" s="6" t="s">
        <v>345</v>
      </c>
      <c r="O85" s="6" t="s">
        <v>346</v>
      </c>
      <c r="P85" s="6" t="s">
        <v>347</v>
      </c>
      <c r="Q85" s="6" t="s">
        <v>295</v>
      </c>
      <c r="R85" s="39" t="s">
        <v>296</v>
      </c>
      <c r="S85" s="6" t="s">
        <v>343</v>
      </c>
      <c r="T85" s="6" t="s">
        <v>344</v>
      </c>
      <c r="U85" s="6" t="s">
        <v>345</v>
      </c>
      <c r="V85" s="6" t="s">
        <v>346</v>
      </c>
      <c r="W85" s="6" t="s">
        <v>347</v>
      </c>
      <c r="Y85" s="19"/>
    </row>
    <row r="86" spans="2:25">
      <c r="B86" s="7" t="s">
        <v>193</v>
      </c>
      <c r="C86" s="3" t="s">
        <v>348</v>
      </c>
      <c r="D86" s="16">
        <v>16</v>
      </c>
      <c r="E86" s="5" t="s">
        <v>349</v>
      </c>
      <c r="F86" s="17">
        <f>(1/(30*220))*D86*(1/191.4)</f>
        <v>1.2665843386846523E-5</v>
      </c>
      <c r="G86" s="8">
        <f>G80</f>
        <v>3189.8</v>
      </c>
      <c r="H86" s="9">
        <f>F86*G86</f>
        <v>4.0401507235363038E-2</v>
      </c>
      <c r="I86" s="313" t="s">
        <v>358</v>
      </c>
      <c r="J86" s="7" t="s">
        <v>193</v>
      </c>
      <c r="K86" s="3" t="s">
        <v>359</v>
      </c>
      <c r="L86" s="16">
        <v>16</v>
      </c>
      <c r="M86" s="5" t="s">
        <v>360</v>
      </c>
      <c r="N86" s="17">
        <f>(1/(30*300))*L86*(1/188.76)</f>
        <v>9.418191236373056E-6</v>
      </c>
      <c r="O86" s="8">
        <f>Encarregado!B291</f>
        <v>6802.6101961467903</v>
      </c>
      <c r="P86" s="9">
        <f>N86*O86</f>
        <v>6.4068283733811696E-2</v>
      </c>
      <c r="Q86" s="7" t="s">
        <v>193</v>
      </c>
      <c r="R86" s="3" t="s">
        <v>348</v>
      </c>
      <c r="S86" s="16">
        <v>16</v>
      </c>
      <c r="T86" s="5" t="s">
        <v>349</v>
      </c>
      <c r="U86" s="17">
        <f>(1/(30*220))*S86*(1/191.4)</f>
        <v>1.2665843386846523E-5</v>
      </c>
      <c r="V86" s="16">
        <f>V80</f>
        <v>3123.76</v>
      </c>
      <c r="W86" s="9">
        <f>U86*V86</f>
        <v>3.9565054938095694E-2</v>
      </c>
    </row>
    <row r="87" spans="2:25">
      <c r="B87" s="10" t="s">
        <v>302</v>
      </c>
      <c r="C87" s="4" t="s">
        <v>354</v>
      </c>
      <c r="D87" s="5">
        <v>16</v>
      </c>
      <c r="E87" s="5" t="s">
        <v>349</v>
      </c>
      <c r="F87" s="17">
        <f>(1/220)*D87*(1/191.4)</f>
        <v>3.7997530160539561E-4</v>
      </c>
      <c r="G87" s="2">
        <f>G81</f>
        <v>2588.58</v>
      </c>
      <c r="H87" s="9">
        <f>F87*G87</f>
        <v>0.98359646622969499</v>
      </c>
      <c r="I87" s="314"/>
      <c r="J87" s="7" t="s">
        <v>302</v>
      </c>
      <c r="K87" s="139" t="s">
        <v>361</v>
      </c>
      <c r="L87" s="140">
        <v>16</v>
      </c>
      <c r="M87" s="5" t="s">
        <v>360</v>
      </c>
      <c r="N87" s="141">
        <f>(1/300)*L87*(1/188.76)</f>
        <v>2.8254573709119167E-4</v>
      </c>
      <c r="O87" s="19">
        <f>ASG!B295</f>
        <v>5289.3151827351585</v>
      </c>
      <c r="P87" s="9">
        <f>N87*O87</f>
        <v>1.4944734570135365</v>
      </c>
      <c r="Q87" s="10" t="s">
        <v>302</v>
      </c>
      <c r="R87" s="4" t="s">
        <v>354</v>
      </c>
      <c r="S87" s="16">
        <v>16</v>
      </c>
      <c r="T87" s="5" t="s">
        <v>349</v>
      </c>
      <c r="U87" s="17">
        <f>(1/220)*S87*(1/191.4)</f>
        <v>3.7997530160539561E-4</v>
      </c>
      <c r="V87" s="8">
        <f>V81</f>
        <v>2712.22</v>
      </c>
      <c r="W87" s="9">
        <f>U87*V87</f>
        <v>1.0305766125201861</v>
      </c>
    </row>
    <row r="88" spans="2:25">
      <c r="B88" s="318" t="s">
        <v>305</v>
      </c>
      <c r="C88" s="319"/>
      <c r="D88" s="319"/>
      <c r="E88" s="319"/>
      <c r="F88" s="319"/>
      <c r="G88" s="320"/>
      <c r="H88" s="26">
        <f>SUM(H86:H87)</f>
        <v>1.0239979734650579</v>
      </c>
      <c r="I88" s="321" t="s">
        <v>305</v>
      </c>
      <c r="J88" s="321"/>
      <c r="K88" s="321"/>
      <c r="L88" s="321"/>
      <c r="M88" s="321"/>
      <c r="N88" s="321"/>
      <c r="O88" s="321"/>
      <c r="P88" s="26">
        <f>SUM(P86:P87)</f>
        <v>1.5585417407473483</v>
      </c>
      <c r="Q88" s="318" t="s">
        <v>305</v>
      </c>
      <c r="R88" s="319"/>
      <c r="S88" s="319"/>
      <c r="T88" s="319"/>
      <c r="U88" s="319"/>
      <c r="V88" s="320"/>
      <c r="W88" s="11">
        <f>SUM(W86:W87)</f>
        <v>1.0701416674582818</v>
      </c>
    </row>
    <row r="89" spans="2:25">
      <c r="B89" s="14"/>
      <c r="C89" s="14"/>
      <c r="D89" s="14"/>
      <c r="E89" s="14"/>
      <c r="F89" s="14"/>
      <c r="G89" s="14"/>
      <c r="H89" s="15"/>
      <c r="I89" s="15"/>
      <c r="J89" s="14"/>
      <c r="K89" s="14"/>
      <c r="L89" s="14"/>
      <c r="M89" s="14"/>
      <c r="N89" s="14"/>
      <c r="O89" s="14"/>
      <c r="P89" s="15"/>
      <c r="Q89" s="14"/>
      <c r="R89" s="14"/>
      <c r="S89" s="14"/>
      <c r="T89" s="14"/>
      <c r="U89" s="14"/>
      <c r="V89" s="14"/>
      <c r="W89" s="15"/>
    </row>
    <row r="90" spans="2:25">
      <c r="B90" s="36" t="s">
        <v>332</v>
      </c>
      <c r="C90" s="318" t="s">
        <v>362</v>
      </c>
      <c r="D90" s="319"/>
      <c r="E90" s="319"/>
      <c r="F90" s="319"/>
      <c r="G90" s="319"/>
      <c r="H90" s="320"/>
      <c r="I90" s="321" t="s">
        <v>332</v>
      </c>
      <c r="J90" s="321"/>
      <c r="K90" s="318" t="s">
        <v>362</v>
      </c>
      <c r="L90" s="319"/>
      <c r="M90" s="319"/>
      <c r="N90" s="319"/>
      <c r="O90" s="319"/>
      <c r="P90" s="320"/>
      <c r="Q90" s="36" t="s">
        <v>332</v>
      </c>
      <c r="R90" s="318" t="s">
        <v>362</v>
      </c>
      <c r="S90" s="319"/>
      <c r="T90" s="319"/>
      <c r="U90" s="319"/>
      <c r="V90" s="319"/>
      <c r="W90" s="320"/>
    </row>
    <row r="91" spans="2:25" ht="47.25">
      <c r="B91" s="6" t="s">
        <v>295</v>
      </c>
      <c r="C91" s="39" t="s">
        <v>296</v>
      </c>
      <c r="D91" s="6" t="s">
        <v>343</v>
      </c>
      <c r="E91" s="6" t="s">
        <v>344</v>
      </c>
      <c r="F91" s="6" t="s">
        <v>345</v>
      </c>
      <c r="G91" s="6" t="s">
        <v>346</v>
      </c>
      <c r="H91" s="6" t="s">
        <v>347</v>
      </c>
      <c r="I91" s="6" t="s">
        <v>299</v>
      </c>
      <c r="J91" s="6" t="s">
        <v>295</v>
      </c>
      <c r="K91" s="39" t="s">
        <v>296</v>
      </c>
      <c r="L91" s="6" t="s">
        <v>343</v>
      </c>
      <c r="M91" s="6" t="s">
        <v>344</v>
      </c>
      <c r="N91" s="6" t="s">
        <v>345</v>
      </c>
      <c r="O91" s="6" t="s">
        <v>346</v>
      </c>
      <c r="P91" s="6" t="s">
        <v>347</v>
      </c>
      <c r="Q91" s="6" t="s">
        <v>295</v>
      </c>
      <c r="R91" s="39" t="s">
        <v>296</v>
      </c>
      <c r="S91" s="6" t="s">
        <v>343</v>
      </c>
      <c r="T91" s="6" t="s">
        <v>344</v>
      </c>
      <c r="U91" s="6" t="s">
        <v>345</v>
      </c>
      <c r="V91" s="6" t="s">
        <v>346</v>
      </c>
      <c r="W91" s="6" t="s">
        <v>347</v>
      </c>
    </row>
    <row r="92" spans="2:25">
      <c r="B92" s="7" t="s">
        <v>193</v>
      </c>
      <c r="C92" s="3" t="s">
        <v>348</v>
      </c>
      <c r="D92" s="16">
        <v>16</v>
      </c>
      <c r="E92" s="5" t="s">
        <v>363</v>
      </c>
      <c r="F92" s="17">
        <f>(1/(30*220))*D92*(1/191.4)</f>
        <v>1.2665843386846523E-5</v>
      </c>
      <c r="G92" s="8">
        <f>G86</f>
        <v>3189.8</v>
      </c>
      <c r="H92" s="9">
        <f>F92*G92</f>
        <v>4.0401507235363038E-2</v>
      </c>
      <c r="I92" s="313" t="s">
        <v>358</v>
      </c>
      <c r="J92" s="7" t="s">
        <v>193</v>
      </c>
      <c r="K92" s="3" t="s">
        <v>359</v>
      </c>
      <c r="L92" s="16">
        <v>16</v>
      </c>
      <c r="M92" s="5" t="s">
        <v>360</v>
      </c>
      <c r="N92" s="17">
        <f>(1/(30*300))*L92*(1/188.76)</f>
        <v>9.418191236373056E-6</v>
      </c>
      <c r="O92" s="8">
        <f>Encarregado!B291</f>
        <v>6802.6101961467903</v>
      </c>
      <c r="P92" s="9">
        <f>N92*O92</f>
        <v>6.4068283733811696E-2</v>
      </c>
      <c r="Q92" s="7" t="s">
        <v>193</v>
      </c>
      <c r="R92" s="3" t="s">
        <v>348</v>
      </c>
      <c r="S92" s="16">
        <v>16</v>
      </c>
      <c r="T92" s="5" t="s">
        <v>349</v>
      </c>
      <c r="U92" s="17">
        <f>(1/(30*220))*S92*(1/191.4)</f>
        <v>1.2665843386846523E-5</v>
      </c>
      <c r="V92" s="16">
        <f>V86</f>
        <v>3123.76</v>
      </c>
      <c r="W92" s="9">
        <f>U92*V92</f>
        <v>3.9565054938095694E-2</v>
      </c>
    </row>
    <row r="93" spans="2:25">
      <c r="B93" s="10" t="s">
        <v>302</v>
      </c>
      <c r="C93" s="4" t="s">
        <v>354</v>
      </c>
      <c r="D93" s="5">
        <v>16</v>
      </c>
      <c r="E93" s="5" t="s">
        <v>349</v>
      </c>
      <c r="F93" s="17">
        <f>(1/220)*D93*(1/191.4)</f>
        <v>3.7997530160539561E-4</v>
      </c>
      <c r="G93" s="2">
        <f>G87</f>
        <v>2588.58</v>
      </c>
      <c r="H93" s="9">
        <f>F93*G93</f>
        <v>0.98359646622969499</v>
      </c>
      <c r="I93" s="314"/>
      <c r="J93" s="7" t="s">
        <v>302</v>
      </c>
      <c r="K93" s="139" t="s">
        <v>361</v>
      </c>
      <c r="L93" s="140">
        <v>16</v>
      </c>
      <c r="M93" s="5" t="s">
        <v>360</v>
      </c>
      <c r="N93" s="141">
        <f>(1/300)*L93*(1/188.76)</f>
        <v>2.8254573709119167E-4</v>
      </c>
      <c r="O93" s="19">
        <f>ASG!B295</f>
        <v>5289.3151827351585</v>
      </c>
      <c r="P93" s="9">
        <f>N93*O93</f>
        <v>1.4944734570135365</v>
      </c>
      <c r="Q93" s="10" t="s">
        <v>302</v>
      </c>
      <c r="R93" s="4" t="s">
        <v>354</v>
      </c>
      <c r="S93" s="16">
        <v>16</v>
      </c>
      <c r="T93" s="5" t="s">
        <v>349</v>
      </c>
      <c r="U93" s="17">
        <f>(1/220)*S93*(1/191.4)</f>
        <v>3.7997530160539561E-4</v>
      </c>
      <c r="V93" s="8">
        <f>V87</f>
        <v>2712.22</v>
      </c>
      <c r="W93" s="9">
        <f>U93*V93</f>
        <v>1.0305766125201861</v>
      </c>
    </row>
    <row r="94" spans="2:25">
      <c r="B94" s="318" t="s">
        <v>305</v>
      </c>
      <c r="C94" s="319"/>
      <c r="D94" s="319"/>
      <c r="E94" s="319"/>
      <c r="F94" s="319"/>
      <c r="G94" s="320"/>
      <c r="H94" s="26">
        <f>SUM(H92:H93)</f>
        <v>1.0239979734650579</v>
      </c>
      <c r="I94" s="321" t="s">
        <v>305</v>
      </c>
      <c r="J94" s="321"/>
      <c r="K94" s="321"/>
      <c r="L94" s="321"/>
      <c r="M94" s="321"/>
      <c r="N94" s="321"/>
      <c r="O94" s="321"/>
      <c r="P94" s="26">
        <f>SUM(P92:P93)</f>
        <v>1.5585417407473483</v>
      </c>
      <c r="Q94" s="318" t="s">
        <v>305</v>
      </c>
      <c r="R94" s="319"/>
      <c r="S94" s="319"/>
      <c r="T94" s="319"/>
      <c r="U94" s="319"/>
      <c r="V94" s="320"/>
      <c r="W94" s="11">
        <f>SUM(W92:W93)</f>
        <v>1.0701416674582818</v>
      </c>
    </row>
    <row r="95" spans="2:25">
      <c r="B95" s="14"/>
      <c r="C95" s="14"/>
      <c r="D95" s="14"/>
      <c r="E95" s="14"/>
      <c r="F95" s="14"/>
      <c r="G95" s="14"/>
      <c r="H95" s="29"/>
      <c r="I95" s="15"/>
      <c r="J95" s="14"/>
      <c r="K95" s="14"/>
      <c r="L95" s="14"/>
      <c r="M95" s="14"/>
      <c r="N95" s="14"/>
      <c r="O95" s="14"/>
      <c r="P95" s="29"/>
      <c r="Q95" s="27"/>
      <c r="R95" s="27"/>
      <c r="S95" s="27"/>
      <c r="T95" s="27"/>
      <c r="U95" s="27"/>
      <c r="V95" s="27"/>
      <c r="W95" s="28"/>
    </row>
    <row r="96" spans="2:25">
      <c r="B96" s="36" t="s">
        <v>332</v>
      </c>
      <c r="C96" s="318" t="s">
        <v>364</v>
      </c>
      <c r="D96" s="319"/>
      <c r="E96" s="319"/>
      <c r="F96" s="319"/>
      <c r="G96" s="319"/>
      <c r="H96" s="320"/>
      <c r="I96" s="321" t="s">
        <v>332</v>
      </c>
      <c r="J96" s="321"/>
      <c r="K96" s="318" t="s">
        <v>365</v>
      </c>
      <c r="L96" s="319"/>
      <c r="M96" s="319"/>
      <c r="N96" s="319"/>
      <c r="O96" s="319"/>
      <c r="P96" s="320"/>
      <c r="Q96" s="27"/>
      <c r="R96" s="27"/>
      <c r="S96" s="27"/>
      <c r="T96" s="27"/>
      <c r="U96" s="27"/>
      <c r="V96" s="27"/>
      <c r="W96" s="28"/>
    </row>
    <row r="97" spans="2:26" ht="47.25">
      <c r="B97" s="6" t="s">
        <v>295</v>
      </c>
      <c r="C97" s="39" t="s">
        <v>296</v>
      </c>
      <c r="D97" s="6" t="s">
        <v>343</v>
      </c>
      <c r="E97" s="6" t="s">
        <v>344</v>
      </c>
      <c r="F97" s="6" t="s">
        <v>345</v>
      </c>
      <c r="G97" s="6" t="s">
        <v>346</v>
      </c>
      <c r="H97" s="6" t="s">
        <v>347</v>
      </c>
      <c r="I97" s="6" t="s">
        <v>299</v>
      </c>
      <c r="J97" s="6" t="s">
        <v>295</v>
      </c>
      <c r="K97" s="39" t="s">
        <v>296</v>
      </c>
      <c r="L97" s="6" t="s">
        <v>343</v>
      </c>
      <c r="M97" s="6" t="s">
        <v>344</v>
      </c>
      <c r="N97" s="6" t="s">
        <v>345</v>
      </c>
      <c r="O97" s="6" t="s">
        <v>346</v>
      </c>
      <c r="P97" s="6" t="s">
        <v>347</v>
      </c>
      <c r="Q97" s="27"/>
      <c r="R97" s="27"/>
      <c r="S97" s="27"/>
      <c r="T97" s="27"/>
      <c r="U97" s="27"/>
      <c r="V97" s="27"/>
      <c r="W97" s="28"/>
    </row>
    <row r="98" spans="2:26">
      <c r="B98" s="7" t="s">
        <v>193</v>
      </c>
      <c r="C98" s="3" t="s">
        <v>353</v>
      </c>
      <c r="D98" s="16">
        <v>8</v>
      </c>
      <c r="E98" s="5" t="s">
        <v>366</v>
      </c>
      <c r="F98" s="17">
        <f>(1/(4*110))*D98*(1/1148.4)</f>
        <v>1.5832304233558149E-5</v>
      </c>
      <c r="G98" s="8">
        <f>G92</f>
        <v>3189.8</v>
      </c>
      <c r="H98" s="1">
        <f>F98*G98</f>
        <v>5.050188404420379E-2</v>
      </c>
      <c r="I98" s="313" t="s">
        <v>350</v>
      </c>
      <c r="J98" s="7" t="s">
        <v>193</v>
      </c>
      <c r="K98" s="3" t="s">
        <v>351</v>
      </c>
      <c r="L98" s="16">
        <v>8</v>
      </c>
      <c r="M98" s="5" t="s">
        <v>352</v>
      </c>
      <c r="N98" s="17">
        <f>(1/(4*130))*L98*(1/1132.6)</f>
        <v>1.3583449924611855E-5</v>
      </c>
      <c r="O98" s="8">
        <f>Encarregado!B291</f>
        <v>6802.6101961467903</v>
      </c>
      <c r="P98" s="1">
        <f>N98*O98</f>
        <v>9.2402914956013951E-2</v>
      </c>
      <c r="Q98" s="27"/>
      <c r="R98" s="27"/>
      <c r="S98" s="27"/>
      <c r="T98" s="27"/>
      <c r="U98" s="27"/>
      <c r="V98" s="27"/>
      <c r="W98" s="28"/>
    </row>
    <row r="99" spans="2:26">
      <c r="B99" s="10" t="s">
        <v>302</v>
      </c>
      <c r="C99" s="4" t="s">
        <v>356</v>
      </c>
      <c r="D99" s="5">
        <v>8</v>
      </c>
      <c r="E99" s="5" t="s">
        <v>366</v>
      </c>
      <c r="F99" s="17">
        <f>(1/(110))*D99*(1/1148.4)</f>
        <v>6.3329216934232598E-5</v>
      </c>
      <c r="G99" s="2">
        <f>G93</f>
        <v>2588.58</v>
      </c>
      <c r="H99" s="1">
        <f>F99*G99</f>
        <v>0.16393274437161581</v>
      </c>
      <c r="I99" s="314"/>
      <c r="J99" s="7" t="s">
        <v>302</v>
      </c>
      <c r="K99" s="139" t="s">
        <v>355</v>
      </c>
      <c r="L99" s="140">
        <v>8</v>
      </c>
      <c r="M99" s="5" t="s">
        <v>352</v>
      </c>
      <c r="N99" s="141">
        <f>(1/(130))*L99*(1/1132.6)</f>
        <v>5.4333799698447419E-5</v>
      </c>
      <c r="O99" s="19">
        <f>ASG!B295</f>
        <v>5289.3151827351585</v>
      </c>
      <c r="P99" s="1">
        <f>N99*O99</f>
        <v>0.28738859168068892</v>
      </c>
      <c r="Q99" s="27"/>
      <c r="R99" s="27"/>
      <c r="S99" s="27"/>
      <c r="T99" s="27"/>
      <c r="U99" s="27"/>
      <c r="V99" s="27"/>
      <c r="W99" s="28"/>
    </row>
    <row r="100" spans="2:26">
      <c r="B100" s="318" t="s">
        <v>305</v>
      </c>
      <c r="C100" s="319"/>
      <c r="D100" s="319"/>
      <c r="E100" s="319"/>
      <c r="F100" s="319"/>
      <c r="G100" s="320"/>
      <c r="H100" s="26">
        <f>SUM(H98:H99)</f>
        <v>0.21443462841581962</v>
      </c>
      <c r="I100" s="321" t="s">
        <v>305</v>
      </c>
      <c r="J100" s="321"/>
      <c r="K100" s="321"/>
      <c r="L100" s="321"/>
      <c r="M100" s="321"/>
      <c r="N100" s="321"/>
      <c r="O100" s="321"/>
      <c r="P100" s="26">
        <f>SUM(P98:P99)</f>
        <v>0.37979150663670286</v>
      </c>
      <c r="Q100" s="27"/>
      <c r="R100" s="27"/>
      <c r="S100" s="27"/>
      <c r="T100" s="27"/>
      <c r="U100" s="27"/>
      <c r="V100" s="27"/>
      <c r="W100" s="28"/>
    </row>
    <row r="101" spans="2:26">
      <c r="B101" s="14"/>
      <c r="C101" s="14"/>
      <c r="D101" s="14"/>
      <c r="E101" s="14"/>
      <c r="F101" s="14"/>
      <c r="G101" s="14"/>
      <c r="H101" s="29"/>
      <c r="I101" s="15"/>
      <c r="J101" s="14"/>
      <c r="K101" s="14"/>
      <c r="L101" s="14"/>
      <c r="M101" s="14"/>
      <c r="N101" s="14"/>
      <c r="O101" s="14"/>
      <c r="P101" s="29"/>
      <c r="Q101" s="27"/>
      <c r="R101" s="27"/>
      <c r="S101" s="27"/>
      <c r="T101" s="27"/>
      <c r="U101" s="27"/>
      <c r="V101" s="27"/>
      <c r="W101" s="28"/>
    </row>
    <row r="102" spans="2:26" ht="15.75">
      <c r="J102" s="325" t="s">
        <v>290</v>
      </c>
      <c r="K102" s="326"/>
      <c r="L102" s="326"/>
      <c r="M102" s="326"/>
      <c r="N102" s="326"/>
      <c r="O102" s="327"/>
      <c r="Q102" s="150"/>
      <c r="R102" s="150"/>
      <c r="S102" s="150"/>
      <c r="T102" s="150"/>
      <c r="U102" s="150"/>
      <c r="V102" s="150"/>
      <c r="W102" s="150"/>
    </row>
    <row r="103" spans="2:26" ht="42" customHeight="1">
      <c r="B103" s="342" t="s">
        <v>367</v>
      </c>
      <c r="C103" s="342"/>
      <c r="D103" s="342"/>
      <c r="E103" s="39" t="s">
        <v>368</v>
      </c>
      <c r="F103" s="39" t="s">
        <v>369</v>
      </c>
      <c r="G103" s="39" t="s">
        <v>370</v>
      </c>
      <c r="J103" s="343" t="s">
        <v>367</v>
      </c>
      <c r="K103" s="343"/>
      <c r="L103" s="343"/>
      <c r="M103" s="6" t="s">
        <v>368</v>
      </c>
      <c r="N103" s="6" t="s">
        <v>369</v>
      </c>
      <c r="O103" s="6" t="s">
        <v>370</v>
      </c>
      <c r="P103" s="6" t="s">
        <v>371</v>
      </c>
      <c r="Q103" s="328"/>
      <c r="R103" s="328"/>
      <c r="S103" s="328"/>
      <c r="T103" s="147"/>
      <c r="U103" s="147"/>
      <c r="V103" s="147"/>
      <c r="W103" s="148"/>
      <c r="X103" s="6" t="s">
        <v>372</v>
      </c>
    </row>
    <row r="104" spans="2:26">
      <c r="B104" s="330" t="s">
        <v>292</v>
      </c>
      <c r="C104" s="331"/>
      <c r="D104" s="331"/>
      <c r="E104" s="331"/>
      <c r="F104" s="331"/>
      <c r="G104" s="332"/>
      <c r="J104" s="322" t="s">
        <v>292</v>
      </c>
      <c r="K104" s="323"/>
      <c r="L104" s="323"/>
      <c r="M104" s="323"/>
      <c r="N104" s="323"/>
      <c r="O104" s="324"/>
      <c r="P104" s="5"/>
      <c r="Q104" s="149"/>
      <c r="R104" s="149"/>
      <c r="S104" s="149"/>
      <c r="T104" s="149"/>
      <c r="U104" s="149"/>
      <c r="V104" s="149"/>
      <c r="W104" s="149"/>
      <c r="X104" s="5"/>
    </row>
    <row r="105" spans="2:26">
      <c r="B105" s="333" t="s">
        <v>294</v>
      </c>
      <c r="C105" s="334"/>
      <c r="D105" s="334"/>
      <c r="E105" s="19">
        <f>ROUND(F9,2)</f>
        <v>4.49</v>
      </c>
      <c r="F105" s="23">
        <v>87672.41</v>
      </c>
      <c r="G105" s="18">
        <f>E105*F105</f>
        <v>393649.12090000004</v>
      </c>
      <c r="I105" s="2">
        <v>1</v>
      </c>
      <c r="J105" s="315" t="s">
        <v>294</v>
      </c>
      <c r="K105" s="315"/>
      <c r="L105" s="315"/>
      <c r="M105" s="1">
        <f>N9</f>
        <v>6.9153319336040733</v>
      </c>
      <c r="N105" s="142">
        <v>12498.72</v>
      </c>
      <c r="O105" s="142">
        <f>M105*N105</f>
        <v>86432.797545175898</v>
      </c>
      <c r="P105" s="158">
        <f>N105/800</f>
        <v>15.623399999999998</v>
      </c>
      <c r="Q105" s="316"/>
      <c r="R105" s="316"/>
      <c r="S105" s="316"/>
      <c r="T105" s="158"/>
      <c r="U105" s="158"/>
      <c r="V105" s="158"/>
      <c r="W105" s="158"/>
      <c r="X105" s="158">
        <f>P105/30</f>
        <v>0.52077999999999991</v>
      </c>
      <c r="Y105" s="142">
        <f>O105*12</f>
        <v>1037193.5705421108</v>
      </c>
    </row>
    <row r="106" spans="2:26">
      <c r="B106" s="34"/>
      <c r="C106" s="35"/>
      <c r="D106" s="35"/>
      <c r="E106" s="19"/>
      <c r="F106" s="23"/>
      <c r="G106" s="20"/>
      <c r="I106" s="2">
        <v>2</v>
      </c>
      <c r="J106" s="315" t="s">
        <v>306</v>
      </c>
      <c r="K106" s="315"/>
      <c r="L106" s="315"/>
      <c r="M106" s="1">
        <f>N15</f>
        <v>6.9153319336040733</v>
      </c>
      <c r="N106" s="1">
        <v>0</v>
      </c>
      <c r="O106" s="142">
        <f t="shared" ref="O106:O111" si="0">M106*N106</f>
        <v>0</v>
      </c>
      <c r="P106" s="158">
        <f>N106/800</f>
        <v>0</v>
      </c>
      <c r="Q106" s="159"/>
      <c r="R106" s="159"/>
      <c r="S106" s="159"/>
      <c r="T106" s="158"/>
      <c r="U106" s="158"/>
      <c r="V106" s="158"/>
      <c r="W106" s="158"/>
      <c r="X106" s="158">
        <f t="shared" ref="X106:X112" si="1">P106/30</f>
        <v>0</v>
      </c>
      <c r="Y106" s="142">
        <f t="shared" ref="Y106:Y112" si="2">O106*12</f>
        <v>0</v>
      </c>
    </row>
    <row r="107" spans="2:26">
      <c r="B107" s="333" t="s">
        <v>307</v>
      </c>
      <c r="C107" s="334"/>
      <c r="D107" s="334"/>
      <c r="E107" s="19">
        <v>4.49</v>
      </c>
      <c r="F107" s="2">
        <v>21690.33</v>
      </c>
      <c r="G107" s="20">
        <f>E107*F107</f>
        <v>97389.58170000001</v>
      </c>
      <c r="I107" s="2">
        <v>3</v>
      </c>
      <c r="J107" s="315" t="s">
        <v>307</v>
      </c>
      <c r="K107" s="315"/>
      <c r="L107" s="315"/>
      <c r="M107" s="1">
        <f>N21</f>
        <v>15.367404296897941</v>
      </c>
      <c r="N107" s="1">
        <v>640.74</v>
      </c>
      <c r="O107" s="142">
        <f t="shared" si="0"/>
        <v>9846.5106291943866</v>
      </c>
      <c r="P107" s="158">
        <f>N107/360</f>
        <v>1.7798333333333334</v>
      </c>
      <c r="Q107" s="316"/>
      <c r="R107" s="316"/>
      <c r="S107" s="316"/>
      <c r="T107" s="158"/>
      <c r="U107" s="158"/>
      <c r="V107" s="158"/>
      <c r="W107" s="158"/>
      <c r="X107" s="158">
        <f>P107/30</f>
        <v>5.9327777777777778E-2</v>
      </c>
      <c r="Y107" s="142">
        <f t="shared" si="2"/>
        <v>118158.12755033263</v>
      </c>
      <c r="Z107" s="19"/>
    </row>
    <row r="108" spans="2:26">
      <c r="B108" s="34"/>
      <c r="C108" s="35"/>
      <c r="D108" s="35"/>
      <c r="E108" s="19"/>
      <c r="G108" s="20"/>
      <c r="I108" s="2">
        <v>4</v>
      </c>
      <c r="J108" s="315" t="s">
        <v>313</v>
      </c>
      <c r="K108" s="315"/>
      <c r="L108" s="315"/>
      <c r="M108" s="1">
        <f>N27</f>
        <v>19.236636062779379</v>
      </c>
      <c r="N108" s="1">
        <v>926.3</v>
      </c>
      <c r="O108" s="142">
        <f t="shared" si="0"/>
        <v>17818.895984952538</v>
      </c>
      <c r="P108" s="158">
        <f>N108/360</f>
        <v>2.5730555555555554</v>
      </c>
      <c r="Q108" s="159"/>
      <c r="R108" s="159"/>
      <c r="S108" s="159"/>
      <c r="T108" s="158"/>
      <c r="U108" s="158"/>
      <c r="V108" s="158"/>
      <c r="W108" s="158"/>
      <c r="X108" s="158">
        <f t="shared" si="1"/>
        <v>8.5768518518518508E-2</v>
      </c>
      <c r="Y108" s="142">
        <f t="shared" si="2"/>
        <v>213826.75181943044</v>
      </c>
      <c r="Z108" s="19"/>
    </row>
    <row r="109" spans="2:26">
      <c r="B109" s="333" t="s">
        <v>373</v>
      </c>
      <c r="C109" s="334"/>
      <c r="D109" s="334"/>
      <c r="E109" s="19">
        <v>4.49</v>
      </c>
      <c r="F109" s="2">
        <v>254.12</v>
      </c>
      <c r="G109" s="20">
        <f t="shared" ref="G109:G110" si="3">E109*F109</f>
        <v>1140.9988000000001</v>
      </c>
      <c r="I109" s="2">
        <v>5</v>
      </c>
      <c r="J109" s="339" t="s">
        <v>373</v>
      </c>
      <c r="K109" s="340"/>
      <c r="L109" s="341"/>
      <c r="M109" s="1">
        <f>N34</f>
        <v>3.6881770312555053</v>
      </c>
      <c r="N109" s="1">
        <v>41.96</v>
      </c>
      <c r="O109" s="142">
        <f t="shared" si="0"/>
        <v>154.75590823148102</v>
      </c>
      <c r="P109" s="158">
        <f>N109/1500</f>
        <v>2.7973333333333333E-2</v>
      </c>
      <c r="Q109" s="316"/>
      <c r="R109" s="316"/>
      <c r="S109" s="316"/>
      <c r="T109" s="158"/>
      <c r="U109" s="158"/>
      <c r="V109" s="158"/>
      <c r="W109" s="158"/>
      <c r="X109" s="158">
        <f t="shared" si="1"/>
        <v>9.324444444444444E-4</v>
      </c>
      <c r="Y109" s="142">
        <f t="shared" si="2"/>
        <v>1857.0708987777721</v>
      </c>
    </row>
    <row r="110" spans="2:26">
      <c r="B110" s="333" t="s">
        <v>374</v>
      </c>
      <c r="C110" s="334"/>
      <c r="D110" s="334"/>
      <c r="E110" s="19">
        <v>4.49</v>
      </c>
      <c r="F110" s="2">
        <v>395.74</v>
      </c>
      <c r="G110" s="20">
        <f t="shared" si="3"/>
        <v>1776.8726000000001</v>
      </c>
      <c r="I110" s="2">
        <v>6</v>
      </c>
      <c r="J110" s="315" t="s">
        <v>319</v>
      </c>
      <c r="K110" s="315"/>
      <c r="L110" s="315"/>
      <c r="M110" s="1">
        <f>N40</f>
        <v>4.6102212890693819</v>
      </c>
      <c r="N110" s="1">
        <v>33.399999999999991</v>
      </c>
      <c r="O110" s="142">
        <f t="shared" si="0"/>
        <v>153.98139105491731</v>
      </c>
      <c r="P110" s="158">
        <f>N110/1200</f>
        <v>2.7833333333333325E-2</v>
      </c>
      <c r="Q110" s="316"/>
      <c r="R110" s="316"/>
      <c r="S110" s="316"/>
      <c r="T110" s="158"/>
      <c r="U110" s="158"/>
      <c r="V110" s="158"/>
      <c r="W110" s="158"/>
      <c r="X110" s="158">
        <f>P110/30</f>
        <v>9.2777777777777748E-4</v>
      </c>
      <c r="Y110" s="142">
        <f t="shared" si="2"/>
        <v>1847.7766926590077</v>
      </c>
    </row>
    <row r="111" spans="2:26">
      <c r="B111" s="34"/>
      <c r="C111" s="35"/>
      <c r="D111" s="35"/>
      <c r="E111" s="19"/>
      <c r="G111" s="20"/>
      <c r="I111" s="2">
        <v>7</v>
      </c>
      <c r="J111" s="315" t="s">
        <v>375</v>
      </c>
      <c r="K111" s="315"/>
      <c r="L111" s="315"/>
      <c r="M111" s="1">
        <f>N46</f>
        <v>5.5322655468832584</v>
      </c>
      <c r="N111" s="142">
        <v>1886.87</v>
      </c>
      <c r="O111" s="142">
        <f t="shared" si="0"/>
        <v>10438.665892447612</v>
      </c>
      <c r="P111" s="158">
        <f>N111/1000</f>
        <v>1.8868699999999998</v>
      </c>
      <c r="Q111" s="159"/>
      <c r="R111" s="159"/>
      <c r="S111" s="159"/>
      <c r="T111" s="158"/>
      <c r="U111" s="158"/>
      <c r="V111" s="158"/>
      <c r="W111" s="158"/>
      <c r="X111" s="158">
        <f t="shared" si="1"/>
        <v>6.2895666666666655E-2</v>
      </c>
      <c r="Y111" s="142">
        <f t="shared" si="2"/>
        <v>125263.99070937134</v>
      </c>
    </row>
    <row r="112" spans="2:26">
      <c r="B112" s="337" t="s">
        <v>375</v>
      </c>
      <c r="C112" s="338"/>
      <c r="D112" s="338"/>
      <c r="E112" s="19">
        <f>ROUND(F46,2)</f>
        <v>4.49</v>
      </c>
      <c r="F112" s="21">
        <v>7616.73</v>
      </c>
      <c r="G112" s="22">
        <f t="shared" ref="G112" si="4">E112*F112</f>
        <v>34199.117700000003</v>
      </c>
      <c r="I112" s="2">
        <v>8</v>
      </c>
      <c r="J112" s="315" t="s">
        <v>331</v>
      </c>
      <c r="K112" s="315"/>
      <c r="L112" s="315"/>
      <c r="M112" s="1">
        <f>N58</f>
        <v>34.625944913002883</v>
      </c>
      <c r="N112" s="1">
        <v>785.63</v>
      </c>
      <c r="O112" s="142">
        <f>M112*N112</f>
        <v>27203.181102002454</v>
      </c>
      <c r="P112" s="158">
        <f>N112/200</f>
        <v>3.92815</v>
      </c>
      <c r="Q112" s="316"/>
      <c r="R112" s="316"/>
      <c r="S112" s="316"/>
      <c r="T112" s="158"/>
      <c r="U112" s="158"/>
      <c r="V112" s="158"/>
      <c r="W112" s="158"/>
      <c r="X112" s="158">
        <f t="shared" si="1"/>
        <v>0.13093833333333332</v>
      </c>
      <c r="Y112" s="142">
        <f t="shared" si="2"/>
        <v>326438.17322402948</v>
      </c>
    </row>
    <row r="113" spans="2:26">
      <c r="B113" s="330" t="s">
        <v>332</v>
      </c>
      <c r="C113" s="331"/>
      <c r="D113" s="331"/>
      <c r="E113" s="331"/>
      <c r="F113" s="331"/>
      <c r="G113" s="332"/>
      <c r="J113" s="322" t="s">
        <v>332</v>
      </c>
      <c r="K113" s="323"/>
      <c r="L113" s="323"/>
      <c r="M113" s="323"/>
      <c r="N113" s="323"/>
      <c r="O113" s="324"/>
      <c r="P113" s="158"/>
      <c r="Q113" s="160"/>
      <c r="R113" s="160"/>
      <c r="S113" s="160"/>
      <c r="T113" s="160"/>
      <c r="U113" s="160"/>
      <c r="V113" s="160"/>
      <c r="W113" s="160"/>
      <c r="X113" s="158"/>
      <c r="Y113" s="40"/>
    </row>
    <row r="114" spans="2:26">
      <c r="B114" s="335" t="s">
        <v>333</v>
      </c>
      <c r="C114" s="336"/>
      <c r="D114" s="336"/>
      <c r="E114" s="19">
        <f>ROUND(F64,2)</f>
        <v>2.25</v>
      </c>
      <c r="F114" s="23">
        <v>11806.6</v>
      </c>
      <c r="G114" s="18">
        <f>E114*F114</f>
        <v>26564.850000000002</v>
      </c>
      <c r="I114" s="2">
        <v>9</v>
      </c>
      <c r="J114" s="315" t="s">
        <v>333</v>
      </c>
      <c r="K114" s="315"/>
      <c r="L114" s="315"/>
      <c r="M114" s="1">
        <f>N64</f>
        <v>3.0734808593795879</v>
      </c>
      <c r="N114" s="142">
        <v>0</v>
      </c>
      <c r="O114" s="142">
        <f>M114*N114</f>
        <v>0</v>
      </c>
      <c r="P114" s="158">
        <f>N114/1800</f>
        <v>0</v>
      </c>
      <c r="Q114" s="316"/>
      <c r="R114" s="316"/>
      <c r="S114" s="316"/>
      <c r="T114" s="158"/>
      <c r="U114" s="158"/>
      <c r="V114" s="158"/>
      <c r="W114" s="158"/>
      <c r="X114" s="158">
        <f>P114/30</f>
        <v>0</v>
      </c>
      <c r="Y114" s="142">
        <f>O114*12</f>
        <v>0</v>
      </c>
    </row>
    <row r="115" spans="2:26">
      <c r="B115" s="333" t="s">
        <v>376</v>
      </c>
      <c r="C115" s="334"/>
      <c r="D115" s="334"/>
      <c r="E115" s="19">
        <f>ROUND(F70,2)</f>
        <v>2.25</v>
      </c>
      <c r="F115" s="23">
        <v>23494.7</v>
      </c>
      <c r="G115" s="20">
        <f>E115*F115</f>
        <v>52863.075000000004</v>
      </c>
      <c r="I115" s="2">
        <v>10</v>
      </c>
      <c r="J115" s="315" t="s">
        <v>376</v>
      </c>
      <c r="K115" s="315"/>
      <c r="L115" s="315"/>
      <c r="M115" s="1">
        <f>N70</f>
        <v>0.92204425781387633</v>
      </c>
      <c r="N115" s="142">
        <v>628.44000000000005</v>
      </c>
      <c r="O115" s="142">
        <f t="shared" ref="O115:O119" si="5">M115*N115</f>
        <v>579.44949338055244</v>
      </c>
      <c r="P115" s="158">
        <f>N115/6000</f>
        <v>0.10474000000000001</v>
      </c>
      <c r="Q115" s="316"/>
      <c r="R115" s="316"/>
      <c r="S115" s="316"/>
      <c r="T115" s="158"/>
      <c r="U115" s="158"/>
      <c r="V115" s="158"/>
      <c r="W115" s="158"/>
      <c r="X115" s="158">
        <f t="shared" ref="X115:X119" si="6">P115/30</f>
        <v>3.4913333333333337E-3</v>
      </c>
      <c r="Y115" s="142">
        <f t="shared" ref="Y115:Y119" si="7">O115*12</f>
        <v>6953.3939205666293</v>
      </c>
      <c r="Z115" s="23"/>
    </row>
    <row r="116" spans="2:26">
      <c r="B116" s="333" t="s">
        <v>377</v>
      </c>
      <c r="C116" s="334"/>
      <c r="D116" s="334"/>
      <c r="E116" s="2">
        <v>2.25</v>
      </c>
      <c r="F116" s="2">
        <v>23765.05</v>
      </c>
      <c r="G116" s="20">
        <f>E116*F116</f>
        <v>53471.362499999996</v>
      </c>
      <c r="I116" s="2">
        <v>11</v>
      </c>
      <c r="J116" s="315" t="s">
        <v>377</v>
      </c>
      <c r="K116" s="315"/>
      <c r="L116" s="315"/>
      <c r="M116" s="1">
        <f>N76</f>
        <v>3.0734808593795879</v>
      </c>
      <c r="N116" s="142">
        <v>2426.37</v>
      </c>
      <c r="O116" s="142">
        <f>M116*N116</f>
        <v>7457.4017527728502</v>
      </c>
      <c r="P116" s="158">
        <f>N116/1800</f>
        <v>1.3479833333333333</v>
      </c>
      <c r="Q116" s="316"/>
      <c r="R116" s="316"/>
      <c r="S116" s="316"/>
      <c r="T116" s="158"/>
      <c r="U116" s="158"/>
      <c r="V116" s="158"/>
      <c r="W116" s="158"/>
      <c r="X116" s="158">
        <f>P116/30</f>
        <v>4.493277777777778E-2</v>
      </c>
      <c r="Y116" s="142">
        <f t="shared" si="7"/>
        <v>89488.821033274202</v>
      </c>
    </row>
    <row r="117" spans="2:26">
      <c r="B117" s="333" t="s">
        <v>378</v>
      </c>
      <c r="C117" s="334"/>
      <c r="D117" s="334"/>
      <c r="E117" s="2" t="s">
        <v>379</v>
      </c>
      <c r="F117" s="2" t="s">
        <v>379</v>
      </c>
      <c r="G117" s="24" t="s">
        <v>379</v>
      </c>
      <c r="I117" s="2">
        <v>12</v>
      </c>
      <c r="J117" s="315" t="s">
        <v>378</v>
      </c>
      <c r="K117" s="315"/>
      <c r="L117" s="315"/>
      <c r="M117" s="1">
        <f>N76</f>
        <v>3.0734808593795879</v>
      </c>
      <c r="N117" s="142">
        <v>0</v>
      </c>
      <c r="O117" s="142">
        <f t="shared" si="5"/>
        <v>0</v>
      </c>
      <c r="P117" s="158">
        <v>0</v>
      </c>
      <c r="Q117" s="316"/>
      <c r="R117" s="316"/>
      <c r="S117" s="316"/>
      <c r="T117" s="158"/>
      <c r="U117" s="158"/>
      <c r="V117" s="158"/>
      <c r="W117" s="158"/>
      <c r="X117" s="158">
        <f t="shared" si="6"/>
        <v>0</v>
      </c>
      <c r="Y117" s="142">
        <f t="shared" si="7"/>
        <v>0</v>
      </c>
    </row>
    <row r="118" spans="2:26">
      <c r="B118" s="333" t="s">
        <v>378</v>
      </c>
      <c r="C118" s="334"/>
      <c r="D118" s="334"/>
      <c r="E118" s="19" t="s">
        <v>379</v>
      </c>
      <c r="F118" s="23" t="s">
        <v>379</v>
      </c>
      <c r="G118" s="24" t="s">
        <v>379</v>
      </c>
      <c r="I118" s="2">
        <v>13</v>
      </c>
      <c r="J118" s="315" t="s">
        <v>380</v>
      </c>
      <c r="K118" s="315"/>
      <c r="L118" s="315"/>
      <c r="M118" s="1">
        <f>N76</f>
        <v>3.0734808593795879</v>
      </c>
      <c r="N118" s="142">
        <v>0</v>
      </c>
      <c r="O118" s="142">
        <f t="shared" si="5"/>
        <v>0</v>
      </c>
      <c r="P118" s="158">
        <v>0</v>
      </c>
      <c r="Q118" s="316"/>
      <c r="R118" s="316"/>
      <c r="S118" s="316"/>
      <c r="T118" s="158"/>
      <c r="U118" s="158"/>
      <c r="V118" s="158"/>
      <c r="W118" s="158"/>
      <c r="X118" s="158">
        <f t="shared" si="6"/>
        <v>0</v>
      </c>
      <c r="Y118" s="142">
        <f t="shared" si="7"/>
        <v>0</v>
      </c>
    </row>
    <row r="119" spans="2:26">
      <c r="B119" s="337" t="s">
        <v>365</v>
      </c>
      <c r="C119" s="338"/>
      <c r="D119" s="338"/>
      <c r="E119" s="19">
        <f>H100</f>
        <v>0.21443462841581962</v>
      </c>
      <c r="F119" s="23">
        <v>4628.38</v>
      </c>
      <c r="G119" s="30">
        <v>971.96</v>
      </c>
      <c r="I119" s="2">
        <v>14</v>
      </c>
      <c r="J119" s="315" t="s">
        <v>365</v>
      </c>
      <c r="K119" s="315"/>
      <c r="L119" s="315"/>
      <c r="M119" s="1">
        <f>P100</f>
        <v>0.37979150663670286</v>
      </c>
      <c r="N119" s="142">
        <v>0</v>
      </c>
      <c r="O119" s="142">
        <f t="shared" si="5"/>
        <v>0</v>
      </c>
      <c r="P119" s="158">
        <f>N119/N99</f>
        <v>0</v>
      </c>
      <c r="Q119" s="316"/>
      <c r="R119" s="316"/>
      <c r="S119" s="316"/>
      <c r="T119" s="158"/>
      <c r="U119" s="158"/>
      <c r="V119" s="158"/>
      <c r="W119" s="158"/>
      <c r="X119" s="158">
        <f t="shared" si="6"/>
        <v>0</v>
      </c>
      <c r="Y119" s="142">
        <f t="shared" si="7"/>
        <v>0</v>
      </c>
    </row>
    <row r="120" spans="2:26">
      <c r="B120" s="330" t="s">
        <v>381</v>
      </c>
      <c r="C120" s="331"/>
      <c r="D120" s="331"/>
      <c r="E120" s="331"/>
      <c r="F120" s="331"/>
      <c r="G120" s="332"/>
      <c r="J120" s="322" t="s">
        <v>381</v>
      </c>
      <c r="K120" s="323"/>
      <c r="L120" s="323"/>
      <c r="M120" s="323"/>
      <c r="N120" s="323"/>
      <c r="O120" s="324"/>
      <c r="P120" s="158"/>
      <c r="Q120" s="160"/>
      <c r="R120" s="160"/>
      <c r="S120" s="160"/>
      <c r="T120" s="160"/>
      <c r="U120" s="160"/>
      <c r="V120" s="160"/>
      <c r="W120" s="160"/>
      <c r="X120" s="158"/>
    </row>
    <row r="121" spans="2:26">
      <c r="B121" s="333" t="s">
        <v>382</v>
      </c>
      <c r="C121" s="334"/>
      <c r="D121" s="334"/>
      <c r="E121" s="19">
        <f>ROUND(H82,2)</f>
        <v>1.02</v>
      </c>
      <c r="F121" s="2">
        <v>9066.64</v>
      </c>
      <c r="G121" s="20">
        <f>E121*F121</f>
        <v>9247.9727999999996</v>
      </c>
      <c r="I121" s="2">
        <v>15</v>
      </c>
      <c r="J121" s="315" t="s">
        <v>382</v>
      </c>
      <c r="K121" s="315"/>
      <c r="L121" s="315"/>
      <c r="M121" s="1">
        <f>P82</f>
        <v>0.37979150663670286</v>
      </c>
      <c r="N121" s="142">
        <v>1203.6300000000001</v>
      </c>
      <c r="O121" s="142">
        <f>M121*N121</f>
        <v>457.12845113313472</v>
      </c>
      <c r="P121" s="158">
        <f>N121*N81</f>
        <v>6.5397791331042274E-2</v>
      </c>
      <c r="Q121" s="316"/>
      <c r="R121" s="316"/>
      <c r="S121" s="316"/>
      <c r="T121" s="158"/>
      <c r="U121" s="158"/>
      <c r="V121" s="158"/>
      <c r="W121" s="158"/>
      <c r="X121" s="158">
        <f>P121/30</f>
        <v>2.1799263777014092E-3</v>
      </c>
      <c r="Y121" s="142">
        <f>O121*12</f>
        <v>5485.5414135976171</v>
      </c>
    </row>
    <row r="122" spans="2:26">
      <c r="B122" s="333" t="s">
        <v>383</v>
      </c>
      <c r="C122" s="334"/>
      <c r="D122" s="334"/>
      <c r="E122" s="19"/>
      <c r="F122" s="19"/>
      <c r="G122" s="20"/>
      <c r="I122" s="2">
        <v>16</v>
      </c>
      <c r="J122" s="315" t="s">
        <v>383</v>
      </c>
      <c r="K122" s="315"/>
      <c r="L122" s="315"/>
      <c r="M122" s="1">
        <f>P88</f>
        <v>1.5585417407473483</v>
      </c>
      <c r="N122" s="143">
        <v>932.4</v>
      </c>
      <c r="O122" s="142">
        <f t="shared" ref="O122:O123" si="8">M122*N122</f>
        <v>1453.1843190728275</v>
      </c>
      <c r="P122" s="158">
        <f>N122*N87</f>
        <v>0.26344564526382713</v>
      </c>
      <c r="Q122" s="316"/>
      <c r="R122" s="316"/>
      <c r="S122" s="316"/>
      <c r="T122" s="158"/>
      <c r="U122" s="158"/>
      <c r="V122" s="158"/>
      <c r="W122" s="158"/>
      <c r="X122" s="158">
        <f t="shared" ref="X122:X123" si="9">P122/30</f>
        <v>8.7815215087942381E-3</v>
      </c>
      <c r="Y122" s="142">
        <f t="shared" ref="Y122:Y123" si="10">O122*12</f>
        <v>17438.211828873929</v>
      </c>
      <c r="Z122" s="23"/>
    </row>
    <row r="123" spans="2:26">
      <c r="B123" s="337" t="s">
        <v>384</v>
      </c>
      <c r="C123" s="338"/>
      <c r="D123" s="338"/>
      <c r="E123" s="19">
        <f>ROUND(H94,2)</f>
        <v>1.02</v>
      </c>
      <c r="F123" s="21">
        <v>13714.65</v>
      </c>
      <c r="G123" s="22">
        <f t="shared" ref="G123" si="11">E123*F123</f>
        <v>13988.942999999999</v>
      </c>
      <c r="I123" s="2">
        <v>17</v>
      </c>
      <c r="J123" s="315" t="s">
        <v>384</v>
      </c>
      <c r="K123" s="315"/>
      <c r="L123" s="315"/>
      <c r="M123" s="1">
        <f>P94</f>
        <v>1.5585417407473483</v>
      </c>
      <c r="N123" s="143">
        <v>2136.0300000000002</v>
      </c>
      <c r="O123" s="142">
        <f t="shared" si="8"/>
        <v>3329.0919144885588</v>
      </c>
      <c r="P123" s="158">
        <f>N123*N93</f>
        <v>0.60352617079889825</v>
      </c>
      <c r="Q123" s="316"/>
      <c r="R123" s="316"/>
      <c r="S123" s="316"/>
      <c r="T123" s="158"/>
      <c r="U123" s="158"/>
      <c r="V123" s="158"/>
      <c r="W123" s="158"/>
      <c r="X123" s="158">
        <f t="shared" si="9"/>
        <v>2.0117539026629942E-2</v>
      </c>
      <c r="Y123" s="142">
        <f t="shared" si="10"/>
        <v>39949.102973862704</v>
      </c>
    </row>
    <row r="124" spans="2:26">
      <c r="B124" s="322" t="s">
        <v>65</v>
      </c>
      <c r="C124" s="323"/>
      <c r="D124" s="323"/>
      <c r="E124" s="323"/>
      <c r="F124" s="324"/>
      <c r="G124" s="31">
        <f>SUM(G105:G123)</f>
        <v>685263.85499999998</v>
      </c>
      <c r="J124" s="329" t="s">
        <v>282</v>
      </c>
      <c r="K124" s="329"/>
      <c r="L124" s="329"/>
      <c r="M124" s="329"/>
      <c r="N124" s="329"/>
      <c r="O124" s="31">
        <f>SUM(O105:O123)</f>
        <v>165325.04438390722</v>
      </c>
      <c r="P124" s="162">
        <f>SUM(P105:P123)</f>
        <v>28.232208496282645</v>
      </c>
      <c r="Q124" s="317"/>
      <c r="R124" s="317"/>
      <c r="S124" s="317"/>
      <c r="T124" s="317"/>
      <c r="U124" s="317"/>
      <c r="V124" s="161"/>
      <c r="W124" s="158"/>
      <c r="X124" s="162">
        <f>SUM(X104:X123)</f>
        <v>0.9410736165427549</v>
      </c>
      <c r="Y124" s="23">
        <f>SUM(Y105:Y123)</f>
        <v>1983900.5326068865</v>
      </c>
    </row>
    <row r="125" spans="2:26">
      <c r="J125" s="322" t="s">
        <v>385</v>
      </c>
      <c r="K125" s="323"/>
      <c r="L125" s="323"/>
      <c r="M125" s="323"/>
      <c r="N125" s="324"/>
      <c r="O125" s="151">
        <f>O124*12</f>
        <v>1983900.5326068867</v>
      </c>
      <c r="Q125" s="149"/>
      <c r="R125" s="149"/>
      <c r="S125" s="149"/>
      <c r="T125" s="149"/>
      <c r="U125" s="149"/>
      <c r="V125" s="149"/>
      <c r="W125" s="149"/>
    </row>
    <row r="126" spans="2:26">
      <c r="F126" s="2">
        <v>12</v>
      </c>
      <c r="G126" s="32">
        <f>G124*F126</f>
        <v>8223166.2599999998</v>
      </c>
      <c r="M126" s="23"/>
      <c r="O126" s="32"/>
      <c r="P126" s="171"/>
    </row>
    <row r="127" spans="2:26">
      <c r="G127" s="32"/>
      <c r="J127" t="s">
        <v>420</v>
      </c>
      <c r="K127" s="23"/>
      <c r="M127" s="32"/>
    </row>
    <row r="128" spans="2:26">
      <c r="G128" s="32"/>
      <c r="K128" s="23"/>
      <c r="M128" s="32"/>
    </row>
    <row r="129" spans="10:16">
      <c r="J129" s="166" t="s">
        <v>188</v>
      </c>
      <c r="K129"/>
      <c r="L129" s="166" t="s">
        <v>188</v>
      </c>
      <c r="M129"/>
      <c r="O129" s="166" t="s">
        <v>188</v>
      </c>
      <c r="P129"/>
    </row>
    <row r="130" spans="10:16">
      <c r="J130" s="175" t="s">
        <v>189</v>
      </c>
      <c r="K130" s="176"/>
      <c r="L130" s="175" t="s">
        <v>189</v>
      </c>
      <c r="M130" s="176"/>
      <c r="N130" s="177"/>
      <c r="O130" s="175" t="s">
        <v>386</v>
      </c>
      <c r="P130" s="176"/>
    </row>
    <row r="131" spans="10:16">
      <c r="J131" s="168" t="s">
        <v>429</v>
      </c>
      <c r="K131" s="176"/>
      <c r="L131" s="168" t="s">
        <v>190</v>
      </c>
      <c r="M131" s="176"/>
      <c r="N131" s="177"/>
      <c r="O131" s="168" t="s">
        <v>190</v>
      </c>
      <c r="P131" s="176"/>
    </row>
    <row r="132" spans="10:16">
      <c r="J132" s="178"/>
      <c r="K132" s="176"/>
      <c r="L132" s="175"/>
      <c r="M132" s="176"/>
      <c r="N132" s="177"/>
      <c r="O132" s="175"/>
      <c r="P132" s="176"/>
    </row>
    <row r="133" spans="10:16">
      <c r="J133" s="165"/>
      <c r="K133" s="176"/>
      <c r="L133" s="165"/>
      <c r="M133" s="165"/>
      <c r="N133" s="177"/>
      <c r="O133" s="165"/>
      <c r="P133" s="165"/>
    </row>
    <row r="134" spans="10:16">
      <c r="N134" s="23"/>
    </row>
    <row r="135" spans="10:16">
      <c r="M135" s="166"/>
      <c r="N135"/>
    </row>
    <row r="136" spans="10:16">
      <c r="M136" s="167"/>
      <c r="N136"/>
    </row>
    <row r="137" spans="10:16">
      <c r="M137" s="168"/>
      <c r="N137"/>
    </row>
    <row r="138" spans="10:16">
      <c r="M138" s="167"/>
      <c r="N138"/>
    </row>
    <row r="139" spans="10:16">
      <c r="M139" s="170"/>
      <c r="N139" s="170"/>
    </row>
  </sheetData>
  <mergeCells count="175">
    <mergeCell ref="J1:N1"/>
    <mergeCell ref="J27:M27"/>
    <mergeCell ref="J54:K54"/>
    <mergeCell ref="L54:N54"/>
    <mergeCell ref="J56:J57"/>
    <mergeCell ref="J58:M58"/>
    <mergeCell ref="D17:F17"/>
    <mergeCell ref="L17:N17"/>
    <mergeCell ref="S17:U17"/>
    <mergeCell ref="C21:E21"/>
    <mergeCell ref="R21:T21"/>
    <mergeCell ref="D42:F42"/>
    <mergeCell ref="L42:N42"/>
    <mergeCell ref="S42:U42"/>
    <mergeCell ref="C46:E46"/>
    <mergeCell ref="R46:T46"/>
    <mergeCell ref="D36:F36"/>
    <mergeCell ref="L36:N36"/>
    <mergeCell ref="S36:U36"/>
    <mergeCell ref="C40:E40"/>
    <mergeCell ref="R40:T40"/>
    <mergeCell ref="D30:F30"/>
    <mergeCell ref="L30:N30"/>
    <mergeCell ref="S30:U30"/>
    <mergeCell ref="C34:E34"/>
    <mergeCell ref="D5:F5"/>
    <mergeCell ref="L5:N5"/>
    <mergeCell ref="S5:U5"/>
    <mergeCell ref="C9:E9"/>
    <mergeCell ref="R9:T9"/>
    <mergeCell ref="C2:F3"/>
    <mergeCell ref="R2:U3"/>
    <mergeCell ref="C4:F4"/>
    <mergeCell ref="R4:U4"/>
    <mergeCell ref="R34:T34"/>
    <mergeCell ref="J4:N4"/>
    <mergeCell ref="J17:K17"/>
    <mergeCell ref="J30:K30"/>
    <mergeCell ref="J2:N3"/>
    <mergeCell ref="J19:J20"/>
    <mergeCell ref="J32:J33"/>
    <mergeCell ref="J21:M21"/>
    <mergeCell ref="J34:M34"/>
    <mergeCell ref="C70:E70"/>
    <mergeCell ref="R70:T70"/>
    <mergeCell ref="D72:F72"/>
    <mergeCell ref="L72:N72"/>
    <mergeCell ref="S72:U72"/>
    <mergeCell ref="D60:F60"/>
    <mergeCell ref="L60:N60"/>
    <mergeCell ref="S60:U60"/>
    <mergeCell ref="R64:T64"/>
    <mergeCell ref="D66:F66"/>
    <mergeCell ref="L66:N66"/>
    <mergeCell ref="S66:U66"/>
    <mergeCell ref="J64:M64"/>
    <mergeCell ref="J70:M70"/>
    <mergeCell ref="J62:J63"/>
    <mergeCell ref="J68:J69"/>
    <mergeCell ref="J60:K60"/>
    <mergeCell ref="J66:K66"/>
    <mergeCell ref="J72:K72"/>
    <mergeCell ref="B82:G82"/>
    <mergeCell ref="Q82:V82"/>
    <mergeCell ref="C84:H84"/>
    <mergeCell ref="K84:P84"/>
    <mergeCell ref="R84:W84"/>
    <mergeCell ref="C76:E76"/>
    <mergeCell ref="R76:T76"/>
    <mergeCell ref="C78:H78"/>
    <mergeCell ref="K78:P78"/>
    <mergeCell ref="R78:W78"/>
    <mergeCell ref="J76:M76"/>
    <mergeCell ref="I80:I81"/>
    <mergeCell ref="I82:O82"/>
    <mergeCell ref="I78:J78"/>
    <mergeCell ref="I84:J84"/>
    <mergeCell ref="C96:H96"/>
    <mergeCell ref="K96:P96"/>
    <mergeCell ref="B100:G100"/>
    <mergeCell ref="I98:I99"/>
    <mergeCell ref="I96:J96"/>
    <mergeCell ref="I100:O100"/>
    <mergeCell ref="B107:D107"/>
    <mergeCell ref="J107:L107"/>
    <mergeCell ref="B88:G88"/>
    <mergeCell ref="C90:H90"/>
    <mergeCell ref="K90:P90"/>
    <mergeCell ref="I88:O88"/>
    <mergeCell ref="I92:I93"/>
    <mergeCell ref="I90:J90"/>
    <mergeCell ref="I94:O94"/>
    <mergeCell ref="B94:G94"/>
    <mergeCell ref="J104:O104"/>
    <mergeCell ref="B110:D110"/>
    <mergeCell ref="J110:L110"/>
    <mergeCell ref="J111:L111"/>
    <mergeCell ref="B112:D112"/>
    <mergeCell ref="J112:L112"/>
    <mergeCell ref="B109:D109"/>
    <mergeCell ref="J109:L109"/>
    <mergeCell ref="B103:D103"/>
    <mergeCell ref="J103:L103"/>
    <mergeCell ref="B104:G104"/>
    <mergeCell ref="B105:D105"/>
    <mergeCell ref="J105:L105"/>
    <mergeCell ref="J106:L106"/>
    <mergeCell ref="B124:F124"/>
    <mergeCell ref="J124:N124"/>
    <mergeCell ref="B120:G120"/>
    <mergeCell ref="B121:D121"/>
    <mergeCell ref="J121:L121"/>
    <mergeCell ref="B122:D122"/>
    <mergeCell ref="J122:L122"/>
    <mergeCell ref="B113:G113"/>
    <mergeCell ref="B114:D114"/>
    <mergeCell ref="J114:L114"/>
    <mergeCell ref="B115:D115"/>
    <mergeCell ref="J115:L115"/>
    <mergeCell ref="J120:O120"/>
    <mergeCell ref="J113:O113"/>
    <mergeCell ref="B118:D118"/>
    <mergeCell ref="J118:L118"/>
    <mergeCell ref="B119:D119"/>
    <mergeCell ref="J119:L119"/>
    <mergeCell ref="B116:D116"/>
    <mergeCell ref="J116:L116"/>
    <mergeCell ref="B117:D117"/>
    <mergeCell ref="J117:L117"/>
    <mergeCell ref="B123:D123"/>
    <mergeCell ref="J123:L123"/>
    <mergeCell ref="J40:M40"/>
    <mergeCell ref="J46:M46"/>
    <mergeCell ref="L11:N11"/>
    <mergeCell ref="J7:J8"/>
    <mergeCell ref="J9:M9"/>
    <mergeCell ref="J15:M15"/>
    <mergeCell ref="J13:J14"/>
    <mergeCell ref="J11:K11"/>
    <mergeCell ref="J5:K5"/>
    <mergeCell ref="J23:K23"/>
    <mergeCell ref="L23:N23"/>
    <mergeCell ref="J25:J26"/>
    <mergeCell ref="J36:K36"/>
    <mergeCell ref="J42:K42"/>
    <mergeCell ref="J38:J39"/>
    <mergeCell ref="J44:J45"/>
    <mergeCell ref="J50:J51"/>
    <mergeCell ref="J52:M52"/>
    <mergeCell ref="L48:N48"/>
    <mergeCell ref="J125:N125"/>
    <mergeCell ref="J102:O102"/>
    <mergeCell ref="Q107:S107"/>
    <mergeCell ref="Q105:S105"/>
    <mergeCell ref="Q103:S103"/>
    <mergeCell ref="Q109:S109"/>
    <mergeCell ref="Q112:S112"/>
    <mergeCell ref="Q110:S110"/>
    <mergeCell ref="Q115:S115"/>
    <mergeCell ref="Q114:S114"/>
    <mergeCell ref="J48:K48"/>
    <mergeCell ref="I86:I87"/>
    <mergeCell ref="J74:J75"/>
    <mergeCell ref="J108:L108"/>
    <mergeCell ref="Q122:S122"/>
    <mergeCell ref="Q121:S121"/>
    <mergeCell ref="Q124:U124"/>
    <mergeCell ref="Q123:S123"/>
    <mergeCell ref="Q117:S117"/>
    <mergeCell ref="Q116:S116"/>
    <mergeCell ref="Q119:S119"/>
    <mergeCell ref="Q118:S118"/>
    <mergeCell ref="Q88:V88"/>
    <mergeCell ref="R90:W90"/>
    <mergeCell ref="Q94:V94"/>
  </mergeCells>
  <pageMargins left="0.25" right="0.25" top="0.28999999999999998" bottom="0.34" header="0.3" footer="0.3"/>
  <pageSetup paperSize="9" scale="59" fitToHeight="0" orientation="portrait" r:id="rId1"/>
  <rowBreaks count="2" manualBreakCount="2">
    <brk id="47" min="8" max="24" man="1"/>
    <brk id="88" min="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G24"/>
  <sheetViews>
    <sheetView tabSelected="1" view="pageBreakPreview" zoomScaleNormal="100" zoomScaleSheetLayoutView="100" workbookViewId="0">
      <selection activeCell="L5" sqref="L5"/>
    </sheetView>
  </sheetViews>
  <sheetFormatPr defaultRowHeight="15"/>
  <cols>
    <col min="2" max="2" width="34.28515625" customWidth="1"/>
    <col min="5" max="5" width="12.140625" bestFit="1" customWidth="1"/>
    <col min="6" max="6" width="10.140625" customWidth="1"/>
    <col min="7" max="7" width="13.42578125" bestFit="1" customWidth="1"/>
  </cols>
  <sheetData>
    <row r="1" spans="1:7" ht="15.75">
      <c r="A1" s="355" t="s">
        <v>387</v>
      </c>
      <c r="B1" s="355"/>
      <c r="C1" s="355"/>
      <c r="D1" s="355"/>
      <c r="E1" s="355"/>
      <c r="F1" s="355"/>
      <c r="G1" s="355"/>
    </row>
    <row r="2" spans="1:7" ht="47.25">
      <c r="A2" s="355" t="s">
        <v>200</v>
      </c>
      <c r="B2" s="355" t="s">
        <v>388</v>
      </c>
      <c r="C2" s="355" t="s">
        <v>389</v>
      </c>
      <c r="D2" s="355" t="s">
        <v>390</v>
      </c>
      <c r="E2" s="155" t="s">
        <v>391</v>
      </c>
      <c r="F2" s="355" t="s">
        <v>392</v>
      </c>
      <c r="G2" s="155" t="s">
        <v>393</v>
      </c>
    </row>
    <row r="3" spans="1:7" ht="15.75">
      <c r="A3" s="355"/>
      <c r="B3" s="355"/>
      <c r="C3" s="355"/>
      <c r="D3" s="355"/>
      <c r="E3" s="155" t="s">
        <v>394</v>
      </c>
      <c r="F3" s="355"/>
      <c r="G3" s="155" t="s">
        <v>394</v>
      </c>
    </row>
    <row r="4" spans="1:7" ht="31.5">
      <c r="A4" s="156">
        <v>1</v>
      </c>
      <c r="B4" s="152" t="s">
        <v>395</v>
      </c>
      <c r="C4" s="154" t="s">
        <v>209</v>
      </c>
      <c r="D4" s="154">
        <v>10</v>
      </c>
      <c r="E4" s="153">
        <v>465.6</v>
      </c>
      <c r="F4" s="154">
        <v>60</v>
      </c>
      <c r="G4" s="153">
        <f>D4*E4/F4</f>
        <v>77.599999999999994</v>
      </c>
    </row>
    <row r="5" spans="1:7" ht="47.25">
      <c r="A5" s="156">
        <v>2</v>
      </c>
      <c r="B5" s="157" t="s">
        <v>396</v>
      </c>
      <c r="C5" s="154" t="s">
        <v>209</v>
      </c>
      <c r="D5" s="154">
        <v>28</v>
      </c>
      <c r="E5" s="153">
        <v>249</v>
      </c>
      <c r="F5" s="154">
        <v>36</v>
      </c>
      <c r="G5" s="153">
        <f>D5*E5/F5</f>
        <v>193.66666666666666</v>
      </c>
    </row>
    <row r="6" spans="1:7" ht="47.25">
      <c r="A6" s="156">
        <v>3</v>
      </c>
      <c r="B6" s="152" t="s">
        <v>397</v>
      </c>
      <c r="C6" s="154" t="s">
        <v>209</v>
      </c>
      <c r="D6" s="154">
        <v>8</v>
      </c>
      <c r="E6" s="153">
        <v>407.7</v>
      </c>
      <c r="F6" s="154">
        <v>36</v>
      </c>
      <c r="G6" s="153">
        <f>D6*E6/F6</f>
        <v>90.6</v>
      </c>
    </row>
    <row r="7" spans="1:7" ht="31.5">
      <c r="A7" s="156">
        <v>4</v>
      </c>
      <c r="B7" s="152" t="s">
        <v>398</v>
      </c>
      <c r="C7" s="154" t="s">
        <v>209</v>
      </c>
      <c r="D7" s="154">
        <v>4</v>
      </c>
      <c r="E7" s="153">
        <v>1949</v>
      </c>
      <c r="F7" s="154">
        <v>60</v>
      </c>
      <c r="G7" s="153">
        <f t="shared" ref="G7:G13" si="0">D7*E7/F7</f>
        <v>129.93333333333334</v>
      </c>
    </row>
    <row r="8" spans="1:7" ht="63">
      <c r="A8" s="156">
        <v>5</v>
      </c>
      <c r="B8" s="152" t="s">
        <v>399</v>
      </c>
      <c r="C8" s="154" t="s">
        <v>209</v>
      </c>
      <c r="D8" s="154">
        <v>10</v>
      </c>
      <c r="E8" s="153">
        <v>167</v>
      </c>
      <c r="F8" s="154">
        <v>60</v>
      </c>
      <c r="G8" s="153">
        <f t="shared" si="0"/>
        <v>27.833333333333332</v>
      </c>
    </row>
    <row r="9" spans="1:7" ht="63">
      <c r="A9" s="156">
        <v>6</v>
      </c>
      <c r="B9" s="152" t="s">
        <v>400</v>
      </c>
      <c r="C9" s="154" t="s">
        <v>209</v>
      </c>
      <c r="D9" s="154">
        <v>5</v>
      </c>
      <c r="E9" s="153">
        <v>224.89</v>
      </c>
      <c r="F9" s="154">
        <v>24</v>
      </c>
      <c r="G9" s="153">
        <f>D9*E9/F9</f>
        <v>46.852083333333326</v>
      </c>
    </row>
    <row r="10" spans="1:7" ht="15.75">
      <c r="A10" s="156">
        <v>7</v>
      </c>
      <c r="B10" s="152" t="s">
        <v>401</v>
      </c>
      <c r="C10" s="154" t="s">
        <v>209</v>
      </c>
      <c r="D10" s="154">
        <v>21</v>
      </c>
      <c r="E10" s="153">
        <v>155.75</v>
      </c>
      <c r="F10" s="154">
        <v>24</v>
      </c>
      <c r="G10" s="153">
        <f t="shared" ref="G10" si="1">D10*E10/F10</f>
        <v>136.28125</v>
      </c>
    </row>
    <row r="11" spans="1:7" ht="47.25">
      <c r="A11" s="156">
        <v>8</v>
      </c>
      <c r="B11" s="157" t="s">
        <v>402</v>
      </c>
      <c r="C11" s="154" t="s">
        <v>209</v>
      </c>
      <c r="D11" s="154">
        <v>4</v>
      </c>
      <c r="E11" s="153">
        <v>674.6</v>
      </c>
      <c r="F11" s="154">
        <v>60</v>
      </c>
      <c r="G11" s="153">
        <f>D11*E11/F11</f>
        <v>44.973333333333336</v>
      </c>
    </row>
    <row r="12" spans="1:7" ht="47.25">
      <c r="A12" s="156">
        <v>9</v>
      </c>
      <c r="B12" s="152" t="s">
        <v>403</v>
      </c>
      <c r="C12" s="154" t="s">
        <v>209</v>
      </c>
      <c r="D12" s="154">
        <v>14</v>
      </c>
      <c r="E12" s="153">
        <v>154.16999999999999</v>
      </c>
      <c r="F12" s="154">
        <v>36</v>
      </c>
      <c r="G12" s="153">
        <f>D12*E12/F12</f>
        <v>59.954999999999991</v>
      </c>
    </row>
    <row r="13" spans="1:7" ht="31.5">
      <c r="A13" s="156">
        <v>10</v>
      </c>
      <c r="B13" s="157" t="s">
        <v>404</v>
      </c>
      <c r="C13" s="154" t="s">
        <v>209</v>
      </c>
      <c r="D13" s="154">
        <v>35</v>
      </c>
      <c r="E13" s="153">
        <v>36</v>
      </c>
      <c r="F13" s="154">
        <v>36</v>
      </c>
      <c r="G13" s="153">
        <f t="shared" si="0"/>
        <v>35</v>
      </c>
    </row>
    <row r="14" spans="1:7" ht="15.75">
      <c r="A14" s="354" t="s">
        <v>281</v>
      </c>
      <c r="B14" s="354"/>
      <c r="C14" s="354"/>
      <c r="D14" s="354"/>
      <c r="E14" s="354"/>
      <c r="F14" s="354"/>
      <c r="G14" s="153">
        <f>SUM(G4:G13)*12</f>
        <v>10112.34</v>
      </c>
    </row>
    <row r="15" spans="1:7" ht="15.75">
      <c r="A15" s="354" t="s">
        <v>405</v>
      </c>
      <c r="B15" s="354"/>
      <c r="C15" s="354"/>
      <c r="D15" s="354"/>
      <c r="E15" s="354"/>
      <c r="F15" s="354"/>
      <c r="G15" s="153">
        <f>G14/12</f>
        <v>842.69500000000005</v>
      </c>
    </row>
    <row r="16" spans="1:7" ht="15.75">
      <c r="A16" s="354" t="s">
        <v>406</v>
      </c>
      <c r="B16" s="354"/>
      <c r="C16" s="354"/>
      <c r="D16" s="354"/>
      <c r="E16" s="354"/>
      <c r="F16" s="354"/>
      <c r="G16" s="153">
        <f>G15/24</f>
        <v>35.112291666666671</v>
      </c>
    </row>
    <row r="18" spans="2:6">
      <c r="B18" t="str">
        <f>Materiais!B86</f>
        <v>Manaus, 02 de DEZEMBRO de 2024</v>
      </c>
    </row>
    <row r="20" spans="2:6" ht="15.75">
      <c r="B20" s="175" t="s">
        <v>188</v>
      </c>
      <c r="C20" s="176"/>
      <c r="D20" s="175" t="s">
        <v>188</v>
      </c>
      <c r="E20" s="176"/>
      <c r="F20" s="172"/>
    </row>
    <row r="21" spans="2:6" ht="15.75">
      <c r="B21" s="173" t="s">
        <v>189</v>
      </c>
      <c r="C21" s="172"/>
      <c r="D21" s="173" t="s">
        <v>189</v>
      </c>
      <c r="E21" s="172"/>
      <c r="F21" s="172"/>
    </row>
    <row r="22" spans="2:6" ht="15.75">
      <c r="B22" s="174" t="str">
        <f>'Área Dispersas'!J131</f>
        <v>Elton de Jesus Thomaz</v>
      </c>
      <c r="C22" s="172"/>
      <c r="D22" s="174" t="s">
        <v>190</v>
      </c>
      <c r="E22" s="172"/>
      <c r="F22" s="172"/>
    </row>
    <row r="23" spans="2:6" ht="15.75">
      <c r="B23" s="41"/>
      <c r="C23" s="172"/>
      <c r="D23" s="173"/>
      <c r="E23" s="172"/>
      <c r="F23" s="172"/>
    </row>
    <row r="24" spans="2:6" ht="15.75">
      <c r="B24" s="69"/>
      <c r="C24" s="172"/>
      <c r="D24" s="69"/>
      <c r="E24" s="69"/>
      <c r="F24" s="172"/>
    </row>
  </sheetData>
  <mergeCells count="9">
    <mergeCell ref="A14:F14"/>
    <mergeCell ref="A15:F15"/>
    <mergeCell ref="A16:F16"/>
    <mergeCell ref="A1:G1"/>
    <mergeCell ref="A2:A3"/>
    <mergeCell ref="B2:B3"/>
    <mergeCell ref="C2:C3"/>
    <mergeCell ref="D2:D3"/>
    <mergeCell ref="F2:F3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ASG</vt:lpstr>
      <vt:lpstr>ASG Insal 40%</vt:lpstr>
      <vt:lpstr>Encarregado</vt:lpstr>
      <vt:lpstr>Materiais</vt:lpstr>
      <vt:lpstr>Área Dispersas</vt:lpstr>
      <vt:lpstr>Equipamentos</vt:lpstr>
      <vt:lpstr>'Área Dispersas'!Area_de_impressao</vt:lpstr>
      <vt:lpstr>ASG!Area_de_impressao</vt:lpstr>
      <vt:lpstr>'ASG Insal 40%'!Area_de_impressao</vt:lpstr>
      <vt:lpstr>Encarregado!Area_de_impressao</vt:lpstr>
      <vt:lpstr>Equipamentos!Area_de_impressao</vt:lpstr>
      <vt:lpstr>Materiais!Area_de_impressao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proplan2</dc:creator>
  <cp:lastModifiedBy>UFAM-CLCMA</cp:lastModifiedBy>
  <cp:revision/>
  <cp:lastPrinted>2024-12-02T16:12:27Z</cp:lastPrinted>
  <dcterms:created xsi:type="dcterms:W3CDTF">2014-07-03T15:27:13Z</dcterms:created>
  <dcterms:modified xsi:type="dcterms:W3CDTF">2025-01-20T14:46:02Z</dcterms:modified>
</cp:coreProperties>
</file>